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<sst xmlns="http://schemas.openxmlformats.org/spreadsheetml/2006/main" count="778" uniqueCount="412">
  <si>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</si>
  <si>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</si>
  <si>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</si>
  <si>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</si>
  <si>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</si>
  <si>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</si>
  <si>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</si>
  <si>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</si>
  <si>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</si>
  <si>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</si>
  <si>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</si>
  <si>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</si>
  <si>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</si>
  <si>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</si>
  <si>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</si>
  <si>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</si>
  <si>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</si>
  <si>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</si>
  <si>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</si>
  <si>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</si>
  <si>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</si>
  <si>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</si>
  <si>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</si>
  <si>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</si>
  <si>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</si>
  <si>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</si>
  <si>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</si>
  <si>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</si>
  <si>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</si>
  <si>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</si>
  <si>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</si>
  <si>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</si>
  <si>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</si>
  <si>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</si>
  <si>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</si>
  <si>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</si>
  <si>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</si>
  <si>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</si>
  <si>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</si>
  <si>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</si>
  <si>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</si>
  <si>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</si>
  <si>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</si>
  <si>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</si>
  <si>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</si>
  <si>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</si>
  <si>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</si>
  <si>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</si>
  <si>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</si>
  <si>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</si>
  <si>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</si>
  <si>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</si>
  <si>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</si>
  <si>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</si>
  <si>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</si>
  <si>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</si>
  <si>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</si>
  <si>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</si>
  <si>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</si>
  <si>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</si>
  <si>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</si>
  <si>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</si>
  <si>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</si>
  <si>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</si>
  <si>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</si>
  <si>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</si>
  <si>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</si>
  <si>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</si>
  <si>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</si>
  <si>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</si>
  <si>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</si>
  <si>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</si>
  <si>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</si>
  <si>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</si>
  <si>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</si>
  <si>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</si>
  <si>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</si>
  <si>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</si>
  <si>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</si>
  <si>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</si>
  <si>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</si>
  <si>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</si>
  <si>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</si>
  <si>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</si>
  <si>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</si>
  <si>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</si>
  <si>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</si>
  <si>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</si>
  <si>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</si>
  <si>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</si>
  <si>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</si>
  <si>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</si>
  <si>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</si>
  <si>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</si>
  <si>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</si>
  <si>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</si>
  <si>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</si>
  <si>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</si>
  <si>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</si>
  <si>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</si>
  <si>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</si>
  <si>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</si>
  <si>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</si>
  <si>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</si>
  <si>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</si>
  <si>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</si>
  <si>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</si>
  <si>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</si>
  <si>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</si>
  <si>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</si>
  <si>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</si>
  <si>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</si>
  <si>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</si>
  <si>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</si>
  <si>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</si>
  <si>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</si>
  <si>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</si>
  <si>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</si>
  <si>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</si>
  <si>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</si>
  <si>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</si>
  <si>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</si>
  <si>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</si>
  <si>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</si>
  <si>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</si>
  <si>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</si>
  <si>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</si>
  <si>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</si>
  <si>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</si>
  <si>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</si>
  <si>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</si>
  <si>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</si>
  <si>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</si>
  <si>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</si>
  <si>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</si>
  <si>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</si>
  <si>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</si>
  <si>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</si>
  <si>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</si>
  <si>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</si>
  <si>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</si>
  <si>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</si>
  <si>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</si>
  <si>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</si>
  <si>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</si>
  <si>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</si>
  <si>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</si>
  <si>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</si>
  <si>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</si>
  <si>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</si>
  <si>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</si>
  <si>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</si>
  <si>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</si>
  <si>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</si>
  <si>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</si>
  <si>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</si>
  <si>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</si>
  <si>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</si>
  <si>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</si>
  <si>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</si>
  <si>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</si>
  <si>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</si>
  <si>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</si>
  <si>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</si>
  <si>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</si>
  <si>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</si>
  <si>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</si>
  <si>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</si>
  <si>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</si>
  <si>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</si>
  <si>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</si>
  <si>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</si>
  <si>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</si>
  <si>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</si>
  <si>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</si>
  <si>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</si>
  <si>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</si>
  <si>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</si>
  <si>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</si>
  <si>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</si>
  <si>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</si>
  <si>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</si>
  <si>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</si>
  <si>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</si>
  <si>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</si>
  <si>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</si>
  <si>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</si>
  <si>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</si>
  <si>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</si>
  <si>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</si>
  <si>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</si>
  <si>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</si>
  <si>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</si>
  <si>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</si>
  <si>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</si>
  <si>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</si>
  <si>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</si>
  <si>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</si>
  <si>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</si>
  <si>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</si>
  <si>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</si>
  <si>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</si>
  <si>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</si>
  <si>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</si>
  <si>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</si>
  <si>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</si>
  <si>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</si>
  <si>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</si>
  <si>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</si>
  <si>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</si>
  <si>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</si>
  <si>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</si>
  <si>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</si>
  <si>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</si>
  <si>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</si>
  <si>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</si>
  <si>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</si>
  <si>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</si>
  <si>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</si>
  <si>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</si>
  <si>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</si>
  <si>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</si>
  <si>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</si>
  <si>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</si>
  <si>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</si>
  <si>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</si>
  <si>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</si>
  <si>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</si>
  <si>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</si>
  <si>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</si>
  <si>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</si>
  <si>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</si>
  <si>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</si>
  <si>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</si>
  <si>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</si>
  <si>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</si>
  <si>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</si>
  <si>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</si>
  <si>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</si>
  <si>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</si>
  <si>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</si>
  <si>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</si>
  <si>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</si>
  <si>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72</t>
  </si>
  <si>
    <t>Workbook Settings 73</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</si>
  <si>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</si>
  <si>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</si>
  <si>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</si>
  <si>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</si>
  <si>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Alice</t>
  </si>
  <si>
    <t>Bob</t>
  </si>
  <si>
    <t>Cara</t>
  </si>
  <si>
    <t>David</t>
  </si>
  <si>
    <t>Ella</t>
  </si>
  <si>
    <t>Finn</t>
  </si>
  <si>
    <t>Grace</t>
  </si>
  <si>
    <t>Henry</t>
  </si>
  <si>
    <t>Isla</t>
  </si>
  <si>
    <t>Jack</t>
  </si>
  <si>
    <t>Kara</t>
  </si>
  <si>
    <t>Leo</t>
  </si>
  <si>
    <t>Mia</t>
  </si>
  <si>
    <t>Noah</t>
  </si>
  <si>
    <t>Olivia</t>
  </si>
  <si>
    <t>Peter</t>
  </si>
  <si>
    <t>Quinn</t>
  </si>
  <si>
    <t>Ruby</t>
  </si>
  <si>
    <t>Sophie</t>
  </si>
  <si>
    <t>Tom</t>
  </si>
  <si>
    <t>Uma</t>
  </si>
  <si>
    <t>Victor</t>
  </si>
  <si>
    <t>Wendy</t>
  </si>
  <si>
    <t>Xavier</t>
  </si>
  <si>
    <t>Yara</t>
  </si>
  <si>
    <t>Zack</t>
  </si>
  <si>
    <t>April</t>
  </si>
  <si>
    <t>Billy</t>
  </si>
  <si>
    <t>Cody</t>
  </si>
  <si>
    <t>Daisy</t>
  </si>
  <si>
    <t>Gender</t>
  </si>
  <si>
    <t>Female</t>
  </si>
  <si>
    <t>Male</t>
  </si>
  <si>
    <t>Betweenness Centrality2</t>
  </si>
  <si>
    <t>Edge Weight</t>
  </si>
  <si>
    <t xml:space="preserve">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 g</t>
  </si>
  <si>
    <t>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geschmac</t>
  </si>
  <si>
    <t>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t>
  </si>
  <si>
    <t>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t>
  </si>
  <si>
    <t>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t>
  </si>
  <si>
    <t xml:space="preserve">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t>
  </si>
  <si>
    <t>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t>
  </si>
  <si>
    <t>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t>
  </si>
  <si>
    <t>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t>
  </si>
  <si>
    <t>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t>
  </si>
  <si>
    <t>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t>
  </si>
  <si>
    <t>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t>
  </si>
  <si>
    <t xml:space="preserve">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t>
  </si>
  <si>
    <t>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
  </si>
  <si>
    <t>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t>
  </si>
  <si>
    <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t>
  </si>
  <si>
    <t>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t>
  </si>
  <si>
    <t>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t>
  </si>
  <si>
    <t>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t>
  </si>
  <si>
    <t>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t>
  </si>
  <si>
    <t>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t>
  </si>
  <si>
    <t>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t>
  </si>
  <si>
    <t>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t>
  </si>
  <si>
    <t>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t>
  </si>
  <si>
    <t>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t>
  </si>
  <si>
    <t>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t>
  </si>
  <si>
    <t>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t>
  </si>
  <si>
    <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t>
  </si>
  <si>
    <t xml:space="preserve">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t>
  </si>
  <si>
    <t>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t>
  </si>
  <si>
    <t>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t>
  </si>
  <si>
    <t>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t>
  </si>
  <si>
    <t>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t>
  </si>
  <si>
    <t>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
  </si>
  <si>
    <t>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t>
  </si>
  <si>
    <t>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t>
  </si>
  <si>
    <t>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t>
  </si>
  <si>
    <t>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t>
  </si>
  <si>
    <t>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t>
  </si>
  <si>
    <t xml:space="preserve">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t>
  </si>
  <si>
    <t xml:space="preserve">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t>
  </si>
  <si>
    <t>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t>
  </si>
  <si>
    <t>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t>
  </si>
  <si>
    <t>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t>
  </si>
  <si>
    <t>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t>
  </si>
  <si>
    <t>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t>
  </si>
  <si>
    <t>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t>
  </si>
  <si>
    <t>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t>
  </si>
  <si>
    <t>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t>
  </si>
  <si>
    <t>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t>
  </si>
  <si>
    <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t>
  </si>
  <si>
    <t>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t>
  </si>
  <si>
    <t>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t>
  </si>
  <si>
    <t>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t>
  </si>
  <si>
    <t>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t>
  </si>
  <si>
    <t>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t>
  </si>
  <si>
    <t xml:space="preserve">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t>
  </si>
  <si>
    <t>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</si>
  <si>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</si>
  <si>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&lt;value&gt;True&lt;/value&gt;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&lt;GraphMetricUserSettings&gt;
      &lt;setting name="GraphMetricsToCalculate" serializeAs="String"&gt;
        &lt;value&gt;Degree,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t>
  </si>
  <si>
    <t xml:space="preser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
  </si>
  <si>
    <t>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t>
  </si>
  <si>
    <t>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t>
  </si>
  <si>
    <t>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t>
  </si>
  <si>
    <t>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t>
  </si>
  <si>
    <t>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t>
  </si>
  <si>
    <t>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t>
  </si>
  <si>
    <t>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t>
  </si>
  <si>
    <t xml:space="preserv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t>
  </si>
  <si>
    <t>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t>
  </si>
  <si>
    <t>-viewable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&lt;value&gt;2&lt;/value&gt;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t>
  </si>
  <si>
    <t>G1</t>
  </si>
  <si>
    <t>G2</t>
  </si>
  <si>
    <t>G3</t>
  </si>
  <si>
    <t>G4</t>
  </si>
  <si>
    <t>G5</t>
  </si>
  <si>
    <t>0, 12, 96</t>
  </si>
  <si>
    <t>0, 136, 227</t>
  </si>
  <si>
    <t>0, 100, 50</t>
  </si>
  <si>
    <t>0, 176, 22</t>
  </si>
  <si>
    <t>191, 0, 0</t>
  </si>
  <si>
    <t>Vertex Group</t>
  </si>
  <si>
    <t>Vertex 1 Group</t>
  </si>
  <si>
    <t>Vertex 2 Group</t>
  </si>
  <si>
    <t>Graph History</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</si>
  <si>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</si>
  <si>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</si>
  <si>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</si>
  <si>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</si>
  <si>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</si>
  <si>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</si>
  <si>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</si>
  <si>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</si>
  <si>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</si>
  <si>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</si>
  <si>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</si>
  <si>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</si>
  <si>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</si>
  <si>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</si>
  <si>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</si>
  <si>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</si>
  <si>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</si>
  <si>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</si>
  <si>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</si>
  <si>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</si>
  <si>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</si>
  <si>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</si>
  <si>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</si>
  <si>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</si>
  <si>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</si>
  <si>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</si>
  <si>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</si>
  <si>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</si>
  <si>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</si>
  <si>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192, 192, 192</t>
  </si>
  <si>
    <t>244, 35, 35</t>
  </si>
  <si>
    <t>218, 113, 113</t>
  </si>
  <si>
    <t>Red</t>
  </si>
  <si>
    <t>205, 153, 153</t>
  </si>
  <si>
    <t>230, 74, 74</t>
  </si>
  <si>
    <t>Autofill Workbook Results</t>
  </si>
  <si>
    <t>GroupingDescription░The graph's vertices were grouped by cluster using the Clauset-Newman-Moore cluster algorithm.▓LayoutAlgorithm░The graph was laid out using the Harel-Koren Fast Multiscale layout algorithm.▓GraphDirectedness░The graph is undirected.</t>
  </si>
  <si>
    <t>The graph was laid out using the Harel-Koren Fast Multiscale layout algorithm.</t>
  </si>
  <si>
    <t>Edge Weight▓3▓8▓0▓True▓Silver▓Red▓▓Edge Weight▓3▓8▓0▓3▓10▓False▓Edge Weight▓3▓8▓0▓80▓40▓False▓▓0▓0▓0▓True▓Black▓Black▓▓Betweenness Centrality▓0▓109.283333▓3▓100▓1000▓False▓▓0▓0▓0▓0▓0▓False▓▓0▓0▓0▓0▓0▓False▓▓0▓0▓0▓0▓0▓False</t>
  </si>
  <si>
    <t xml:space="preserve">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40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&lt;value&gt;0.4&lt;/value&gt;
      &lt;/setting&gt;
    &lt;/GraphZoomAndScaleUserSettings&gt;
    &lt;GeneralUserSettings4&gt;
      &lt;setting name="NewWorkbookGraphDirectedness" serializeAs="String"&gt;
        &lt;value&gt;Undirected&lt;/value&gt;
      &lt;/setting&gt;
      &lt;setting name="ReadEdgeLabels" serializeAs="String"&gt;
        &lt;value&gt;True&lt;/value&gt;
      &lt;/setting&gt;
      &lt;setting name="ShowGraphLegend" se</t>
  </si>
  <si>
    <t>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</si>
  <si>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https://nodexlgraphgallery.org/Pages/Graph.aspx?graphID=294667</t>
  </si>
  <si>
    <t>https://nodexlgraphgallery.org/Images/Image.ashx?graphID=294667&amp;type=f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</si>
</sst>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0" fontId="0" fillId="0" borderId="0" xfId="0"/>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2" borderId="1" xfId="20" applyNumberFormat="1" applyFont="1" applyAlignment="1">
      <alignment wrapText="1"/>
    </xf>
    <xf numFmtId="0" fontId="0" fillId="0" borderId="0" xfId="0"/>
    <xf numFmtId="0" fontId="0" fillId="0" borderId="0" xfId="0"/>
    <xf numFmtId="0" fontId="0" fillId="0" borderId="0" xfId="0"/>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2">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1"/>
      <tableStyleElement type="headerRow" dxfId="110"/>
    </tableStyle>
    <tableStyle name="NodeXL Table" pivot="0" count="1">
      <tableStyleElement type="headerRow" dxfId="1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956071"/>
        <c:axId val="23278048"/>
      </c:barChart>
      <c:catAx>
        <c:axId val="249560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278048"/>
        <c:crosses val="autoZero"/>
        <c:auto val="1"/>
        <c:lblOffset val="100"/>
        <c:noMultiLvlLbl val="0"/>
      </c:catAx>
      <c:valAx>
        <c:axId val="23278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56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175841"/>
        <c:axId val="6473706"/>
      </c:barChart>
      <c:catAx>
        <c:axId val="81758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73706"/>
        <c:crosses val="autoZero"/>
        <c:auto val="1"/>
        <c:lblOffset val="100"/>
        <c:noMultiLvlLbl val="0"/>
      </c:catAx>
      <c:valAx>
        <c:axId val="6473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75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263355"/>
        <c:axId val="54608148"/>
      </c:barChart>
      <c:catAx>
        <c:axId val="582633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608148"/>
        <c:crosses val="autoZero"/>
        <c:auto val="1"/>
        <c:lblOffset val="100"/>
        <c:noMultiLvlLbl val="0"/>
      </c:catAx>
      <c:valAx>
        <c:axId val="54608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63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711285"/>
        <c:axId val="61183838"/>
      </c:barChart>
      <c:catAx>
        <c:axId val="217112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183838"/>
        <c:crosses val="autoZero"/>
        <c:auto val="1"/>
        <c:lblOffset val="100"/>
        <c:noMultiLvlLbl val="0"/>
      </c:catAx>
      <c:valAx>
        <c:axId val="61183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11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783631"/>
        <c:axId val="56943816"/>
      </c:barChart>
      <c:catAx>
        <c:axId val="137836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943816"/>
        <c:crosses val="autoZero"/>
        <c:auto val="1"/>
        <c:lblOffset val="100"/>
        <c:noMultiLvlLbl val="0"/>
      </c:catAx>
      <c:valAx>
        <c:axId val="56943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83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732297"/>
        <c:axId val="49046354"/>
      </c:barChart>
      <c:catAx>
        <c:axId val="427322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046354"/>
        <c:crosses val="autoZero"/>
        <c:auto val="1"/>
        <c:lblOffset val="100"/>
        <c:noMultiLvlLbl val="0"/>
      </c:catAx>
      <c:valAx>
        <c:axId val="49046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32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764003"/>
        <c:axId val="13331708"/>
      </c:barChart>
      <c:catAx>
        <c:axId val="387640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31708"/>
        <c:crosses val="autoZero"/>
        <c:auto val="1"/>
        <c:lblOffset val="100"/>
        <c:noMultiLvlLbl val="0"/>
      </c:catAx>
      <c:valAx>
        <c:axId val="13331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64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876509"/>
        <c:axId val="6126534"/>
      </c:barChart>
      <c:catAx>
        <c:axId val="528765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26534"/>
        <c:crosses val="autoZero"/>
        <c:auto val="1"/>
        <c:lblOffset val="100"/>
        <c:noMultiLvlLbl val="0"/>
      </c:catAx>
      <c:valAx>
        <c:axId val="6126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76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138807"/>
        <c:axId val="26487216"/>
      </c:barChart>
      <c:catAx>
        <c:axId val="55138807"/>
        <c:scaling>
          <c:orientation val="minMax"/>
        </c:scaling>
        <c:axPos val="b"/>
        <c:delete val="1"/>
        <c:majorTickMark val="out"/>
        <c:minorTickMark val="none"/>
        <c:tickLblPos val="none"/>
        <c:crossAx val="26487216"/>
        <c:crosses val="autoZero"/>
        <c:auto val="1"/>
        <c:lblOffset val="100"/>
        <c:noMultiLvlLbl val="0"/>
      </c:catAx>
      <c:valAx>
        <c:axId val="26487216"/>
        <c:scaling>
          <c:orientation val="minMax"/>
        </c:scaling>
        <c:axPos val="l"/>
        <c:delete val="1"/>
        <c:majorTickMark val="out"/>
        <c:minorTickMark val="none"/>
        <c:tickLblPos val="none"/>
        <c:crossAx val="551388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45" totalsRowShown="0" headerRowDxfId="108" dataDxfId="107">
  <autoFilter ref="A2:P45"/>
  <tableColumns count="16">
    <tableColumn id="1" name="Vertex 1" dataDxfId="106"/>
    <tableColumn id="2" name="Vertex 2" dataDxfId="105"/>
    <tableColumn id="3" name="Color" dataDxfId="104"/>
    <tableColumn id="4" name="Width" dataDxfId="103"/>
    <tableColumn id="11" name="Style" dataDxfId="102"/>
    <tableColumn id="5" name="Opacity" dataDxfId="101"/>
    <tableColumn id="6" name="Visibility" dataDxfId="100"/>
    <tableColumn id="10" name="Label" dataDxfId="99"/>
    <tableColumn id="12" name="Label Text Color" dataDxfId="98"/>
    <tableColumn id="13" name="Label Font Size" dataDxfId="97"/>
    <tableColumn id="14" name="Reciprocated?" dataDxfId="96"/>
    <tableColumn id="7" name="ID" dataDxfId="95"/>
    <tableColumn id="9" name="Dynamic Filter" dataDxfId="94"/>
    <tableColumn id="8" name="Edge Weight" dataDxfId="31"/>
    <tableColumn id="15" name="Vertex 1 Group" dataDxfId="30">
      <calculatedColumnFormula>REPLACE(INDEX(GroupVertices[Group], MATCH("~"&amp;Edges[[#This Row],[Vertex 1]],GroupVertices[Vertex],0)),1,1,"")</calculatedColumnFormula>
    </tableColumn>
    <tableColumn id="16" name="Vertex 2 Group" dataDxfId="29">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47" dataDxfId="46">
  <autoFilter ref="A2:C17"/>
  <tableColumns count="3">
    <tableColumn id="1" name="Group 1" dataDxfId="13"/>
    <tableColumn id="2" name="Group 2" dataDxfId="12"/>
    <tableColumn id="3" name="Edges" dataDxfId="11"/>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45" dataDxfId="44">
  <autoFilter ref="A1:B7"/>
  <tableColumns count="2">
    <tableColumn id="1" name="Key" dataDxfId="8"/>
    <tableColumn id="2" name="Value"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32" totalsRowShown="0" headerRowDxfId="68" dataDxfId="67">
  <autoFilter ref="A2:AE32"/>
  <sortState ref="A3:AE32">
    <sortCondition sortBy="value" ref="C3:C32"/>
  </sortState>
  <tableColumns count="31">
    <tableColumn id="1" name="Vertex" dataDxfId="66"/>
    <tableColumn id="2" name="Color" dataDxfId="65"/>
    <tableColumn id="5" name="Shape" dataDxfId="64"/>
    <tableColumn id="6" name="Size" dataDxfId="63"/>
    <tableColumn id="4" name="Opacity" dataDxfId="62"/>
    <tableColumn id="7" name="Image File" dataDxfId="61"/>
    <tableColumn id="3" name="Visibility" dataDxfId="60"/>
    <tableColumn id="10" name="Label" dataDxfId="59"/>
    <tableColumn id="16" name="Label Fill Color" dataDxfId="58"/>
    <tableColumn id="9" name="Label Position" dataDxfId="57"/>
    <tableColumn id="8" name="Tooltip" dataDxfId="56"/>
    <tableColumn id="18" name="Layout Order" dataDxfId="55"/>
    <tableColumn id="13" name="X" dataDxfId="54"/>
    <tableColumn id="14" name="Y" dataDxfId="53"/>
    <tableColumn id="12" name="Locked?" dataDxfId="52"/>
    <tableColumn id="19" name="Polar R" dataDxfId="51"/>
    <tableColumn id="20" name="Polar Angle" dataDxfId="43"/>
    <tableColumn id="21" name="Degree" dataDxfId="41"/>
    <tableColumn id="22" name="In-Degree" dataDxfId="42"/>
    <tableColumn id="23" name="Out-Degree" dataDxfId="6"/>
    <tableColumn id="24" name="Betweenness Centrality" dataDxfId="5"/>
    <tableColumn id="25" name="Closeness Centrality" dataDxfId="4"/>
    <tableColumn id="26" name="Eigenvector Centrality" dataDxfId="3"/>
    <tableColumn id="15" name="PageRank" dataDxfId="2"/>
    <tableColumn id="27" name="Clustering Coefficient" dataDxfId="0"/>
    <tableColumn id="29" name="Reciprocated Vertex Pair Ratio" dataDxfId="1"/>
    <tableColumn id="11" name="ID" dataDxfId="50"/>
    <tableColumn id="28" name="Dynamic Filter" dataDxfId="49"/>
    <tableColumn id="17" name="Gender" dataDxfId="48"/>
    <tableColumn id="30" name="Betweenness Centrality2" dataDxfId="33"/>
    <tableColumn id="31" name="Vertex Group" dataDxfId="32">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7" totalsRowShown="0" headerRowDxfId="93">
  <autoFilter ref="A2:X7"/>
  <tableColumns count="24">
    <tableColumn id="1" name="Group" dataDxfId="40"/>
    <tableColumn id="2" name="Vertex Color" dataDxfId="39"/>
    <tableColumn id="3" name="Vertex Shape" dataDxfId="37"/>
    <tableColumn id="22" name="Visibility" dataDxfId="38"/>
    <tableColumn id="4" name="Collapsed?"/>
    <tableColumn id="18" name="Label" dataDxfId="92"/>
    <tableColumn id="20" name="Collapsed X"/>
    <tableColumn id="21" name="Collapsed Y"/>
    <tableColumn id="6" name="ID" dataDxfId="9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90" dataDxfId="89">
  <autoFilter ref="A1:C30"/>
  <tableColumns count="3">
    <tableColumn id="1" name="Group" dataDxfId="36"/>
    <tableColumn id="2" name="Vertex" dataDxfId="35"/>
    <tableColumn id="3" name="Vertex ID" dataDxfId="34">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0"/>
    <tableColumn id="2" name="Value" dataDxfId="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88"/>
    <tableColumn id="2" name="Degree Frequency" dataDxfId="87">
      <calculatedColumnFormula>COUNTIF(Vertices[Degree], "&gt;= " &amp; D2) - COUNTIF(Vertices[Degree], "&gt;=" &amp; D3)</calculatedColumnFormula>
    </tableColumn>
    <tableColumn id="3" name="In-Degree Bin" dataDxfId="86"/>
    <tableColumn id="4" name="In-Degree Frequency" dataDxfId="85">
      <calculatedColumnFormula>COUNTIF(Vertices[In-Degree], "&gt;= " &amp; F2) - COUNTIF(Vertices[In-Degree], "&gt;=" &amp; F3)</calculatedColumnFormula>
    </tableColumn>
    <tableColumn id="5" name="Out-Degree Bin" dataDxfId="84"/>
    <tableColumn id="6" name="Out-Degree Frequency" dataDxfId="83">
      <calculatedColumnFormula>COUNTIF(Vertices[Out-Degree], "&gt;= " &amp; H2) - COUNTIF(Vertices[Out-Degree], "&gt;=" &amp; H3)</calculatedColumnFormula>
    </tableColumn>
    <tableColumn id="7" name="Betweenness Centrality Bin" dataDxfId="82"/>
    <tableColumn id="8" name="Betweenness Centrality Frequency" dataDxfId="81">
      <calculatedColumnFormula>COUNTIF(Vertices[Betweenness Centrality], "&gt;= " &amp; J2) - COUNTIF(Vertices[Betweenness Centrality], "&gt;=" &amp; J3)</calculatedColumnFormula>
    </tableColumn>
    <tableColumn id="9" name="Closeness Centrality Bin" dataDxfId="80"/>
    <tableColumn id="10" name="Closeness Centrality Frequency" dataDxfId="79">
      <calculatedColumnFormula>COUNTIF(Vertices[Closeness Centrality], "&gt;= " &amp; L2) - COUNTIF(Vertices[Closeness Centrality], "&gt;=" &amp; L3)</calculatedColumnFormula>
    </tableColumn>
    <tableColumn id="11" name="Eigenvector Centrality Bin" dataDxfId="78"/>
    <tableColumn id="12" name="Eigenvector Centrality Frequency" dataDxfId="77">
      <calculatedColumnFormula>COUNTIF(Vertices[Eigenvector Centrality], "&gt;= " &amp; N2) - COUNTIF(Vertices[Eigenvector Centrality], "&gt;=" &amp; N3)</calculatedColumnFormula>
    </tableColumn>
    <tableColumn id="18" name="PageRank Bin" dataDxfId="76"/>
    <tableColumn id="17" name="PageRank Frequency" dataDxfId="75">
      <calculatedColumnFormula>COUNTIF(Vertices[Eigenvector Centrality], "&gt;= " &amp; P2) - COUNTIF(Vertices[Eigenvector Centrality], "&gt;=" &amp; P3)</calculatedColumnFormula>
    </tableColumn>
    <tableColumn id="13" name="Clustering Coefficient Bin" dataDxfId="74"/>
    <tableColumn id="14" name="Clustering Coefficient Frequency" dataDxfId="73">
      <calculatedColumnFormula>COUNTIF(Vertices[Clustering Coefficient], "&gt;= " &amp; R2) - COUNTIF(Vertices[Clustering Coefficient], "&gt;=" &amp; R3)</calculatedColumnFormula>
    </tableColumn>
    <tableColumn id="15" name="Dynamic Filter Bin" dataDxfId="72"/>
    <tableColumn id="16" name="Dynamic Filter Frequency" dataDxfId="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7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workbookViewId="0" topLeftCell="A1">
      <pane xSplit="2" ySplit="2" topLeftCell="C3" activePane="bottomRight" state="frozen"/>
      <selection pane="topRight" activeCell="C1" sqref="C1"/>
      <selection pane="bottomLeft" activeCell="A3" sqref="A3"/>
      <selection pane="bottomRight" activeCell="A37" sqref="A37:P37 A15:P15 A10:P1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5" t="s">
        <v>39</v>
      </c>
      <c r="D1" s="16"/>
      <c r="E1" s="16"/>
      <c r="F1" s="16"/>
      <c r="G1" s="15"/>
      <c r="H1" s="13" t="s">
        <v>43</v>
      </c>
      <c r="I1" s="60"/>
      <c r="J1" s="60"/>
      <c r="K1" s="31" t="s">
        <v>42</v>
      </c>
      <c r="L1" s="17" t="s">
        <v>40</v>
      </c>
      <c r="M1" s="17"/>
      <c r="N1" s="14" t="s">
        <v>41</v>
      </c>
    </row>
    <row r="2" spans="1:1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283</v>
      </c>
      <c r="O2" s="7" t="s">
        <v>366</v>
      </c>
      <c r="P2" s="7" t="s">
        <v>367</v>
      </c>
    </row>
    <row r="3" spans="1:16" ht="15" customHeight="1">
      <c r="A3" s="85" t="s">
        <v>249</v>
      </c>
      <c r="B3" s="85" t="s">
        <v>251</v>
      </c>
      <c r="C3" s="49" t="s">
        <v>398</v>
      </c>
      <c r="D3" s="50">
        <v>3</v>
      </c>
      <c r="E3" s="61"/>
      <c r="F3" s="51">
        <v>80</v>
      </c>
      <c r="G3" s="49"/>
      <c r="H3" s="53"/>
      <c r="I3" s="52"/>
      <c r="J3" s="52"/>
      <c r="K3" s="63"/>
      <c r="L3" s="58">
        <v>3</v>
      </c>
      <c r="M3" s="58"/>
      <c r="N3" s="86">
        <v>3</v>
      </c>
      <c r="O3" s="90" t="str">
        <f>REPLACE(INDEX(GroupVertices[Group],MATCH("~"&amp;Edges[[#This Row],[Vertex 1]],GroupVertices[Vertex],0)),1,1,"")</f>
        <v>4</v>
      </c>
      <c r="P3" s="90" t="str">
        <f>REPLACE(INDEX(GroupVertices[Group],MATCH("~"&amp;Edges[[#This Row],[Vertex 2]],GroupVertices[Vertex],0)),1,1,"")</f>
        <v>4</v>
      </c>
    </row>
    <row r="4" spans="1:16" ht="15" customHeight="1">
      <c r="A4" s="46" t="s">
        <v>249</v>
      </c>
      <c r="B4" s="46" t="s">
        <v>257</v>
      </c>
      <c r="C4" s="49" t="s">
        <v>399</v>
      </c>
      <c r="D4" s="50">
        <v>8.6</v>
      </c>
      <c r="E4" s="61"/>
      <c r="F4" s="51">
        <v>48</v>
      </c>
      <c r="G4" s="49"/>
      <c r="H4" s="53"/>
      <c r="I4" s="52"/>
      <c r="J4" s="52"/>
      <c r="K4" s="63"/>
      <c r="L4" s="83">
        <v>4</v>
      </c>
      <c r="M4" s="83"/>
      <c r="N4" s="86">
        <v>7</v>
      </c>
      <c r="O4" s="90" t="str">
        <f>REPLACE(INDEX(GroupVertices[Group],MATCH("~"&amp;Edges[[#This Row],[Vertex 1]],GroupVertices[Vertex],0)),1,1,"")</f>
        <v>4</v>
      </c>
      <c r="P4" s="90" t="str">
        <f>REPLACE(INDEX(GroupVertices[Group],MATCH("~"&amp;Edges[[#This Row],[Vertex 2]],GroupVertices[Vertex],0)),1,1,"")</f>
        <v>2</v>
      </c>
    </row>
    <row r="5" spans="1:16" ht="45">
      <c r="A5" s="46" t="s">
        <v>249</v>
      </c>
      <c r="B5" s="46" t="s">
        <v>259</v>
      </c>
      <c r="C5" s="49" t="s">
        <v>400</v>
      </c>
      <c r="D5" s="50">
        <v>5.8</v>
      </c>
      <c r="E5" s="61"/>
      <c r="F5" s="51">
        <v>64</v>
      </c>
      <c r="G5" s="49"/>
      <c r="H5" s="53"/>
      <c r="I5" s="52"/>
      <c r="J5" s="52"/>
      <c r="K5" s="63"/>
      <c r="L5" s="83">
        <v>5</v>
      </c>
      <c r="M5" s="83"/>
      <c r="N5" s="86">
        <v>5</v>
      </c>
      <c r="O5" s="90" t="str">
        <f>REPLACE(INDEX(GroupVertices[Group],MATCH("~"&amp;Edges[[#This Row],[Vertex 1]],GroupVertices[Vertex],0)),1,1,"")</f>
        <v>4</v>
      </c>
      <c r="P5" s="90" t="str">
        <f>REPLACE(INDEX(GroupVertices[Group],MATCH("~"&amp;Edges[[#This Row],[Vertex 2]],GroupVertices[Vertex],0)),1,1,"")</f>
        <v>5</v>
      </c>
    </row>
    <row r="6" spans="1:16" ht="15">
      <c r="A6" s="46" t="s">
        <v>249</v>
      </c>
      <c r="B6" s="46" t="s">
        <v>262</v>
      </c>
      <c r="C6" s="49" t="s">
        <v>401</v>
      </c>
      <c r="D6" s="50">
        <v>10</v>
      </c>
      <c r="E6" s="61"/>
      <c r="F6" s="51">
        <v>40</v>
      </c>
      <c r="G6" s="49"/>
      <c r="H6" s="53"/>
      <c r="I6" s="52"/>
      <c r="J6" s="52"/>
      <c r="K6" s="63"/>
      <c r="L6" s="83">
        <v>6</v>
      </c>
      <c r="M6" s="83"/>
      <c r="N6" s="86">
        <v>9</v>
      </c>
      <c r="O6" s="90" t="str">
        <f>REPLACE(INDEX(GroupVertices[Group],MATCH("~"&amp;Edges[[#This Row],[Vertex 1]],GroupVertices[Vertex],0)),1,1,"")</f>
        <v>4</v>
      </c>
      <c r="P6" s="90" t="str">
        <f>REPLACE(INDEX(GroupVertices[Group],MATCH("~"&amp;Edges[[#This Row],[Vertex 2]],GroupVertices[Vertex],0)),1,1,"")</f>
        <v>4</v>
      </c>
    </row>
    <row r="7" spans="1:16" ht="30">
      <c r="A7" s="46" t="s">
        <v>249</v>
      </c>
      <c r="B7" s="46" t="s">
        <v>269</v>
      </c>
      <c r="C7" s="49" t="s">
        <v>399</v>
      </c>
      <c r="D7" s="50">
        <v>8.6</v>
      </c>
      <c r="E7" s="61"/>
      <c r="F7" s="51">
        <v>48</v>
      </c>
      <c r="G7" s="49"/>
      <c r="H7" s="53"/>
      <c r="I7" s="52"/>
      <c r="J7" s="52"/>
      <c r="K7" s="63"/>
      <c r="L7" s="83">
        <v>7</v>
      </c>
      <c r="M7" s="83"/>
      <c r="N7" s="86">
        <v>7</v>
      </c>
      <c r="O7" s="90" t="str">
        <f>REPLACE(INDEX(GroupVertices[Group],MATCH("~"&amp;Edges[[#This Row],[Vertex 1]],GroupVertices[Vertex],0)),1,1,"")</f>
        <v>4</v>
      </c>
      <c r="P7" s="90" t="str">
        <f>REPLACE(INDEX(GroupVertices[Group],MATCH("~"&amp;Edges[[#This Row],[Vertex 2]],GroupVertices[Vertex],0)),1,1,"")</f>
        <v>1</v>
      </c>
    </row>
    <row r="8" spans="1:16" ht="45">
      <c r="A8" s="46" t="s">
        <v>249</v>
      </c>
      <c r="B8" s="46" t="s">
        <v>276</v>
      </c>
      <c r="C8" s="49" t="s">
        <v>398</v>
      </c>
      <c r="D8" s="50">
        <v>3</v>
      </c>
      <c r="E8" s="61"/>
      <c r="F8" s="51">
        <v>80</v>
      </c>
      <c r="G8" s="49"/>
      <c r="H8" s="53"/>
      <c r="I8" s="52"/>
      <c r="J8" s="52"/>
      <c r="K8" s="63"/>
      <c r="L8" s="83">
        <v>8</v>
      </c>
      <c r="M8" s="83"/>
      <c r="N8" s="86">
        <v>2</v>
      </c>
      <c r="O8" s="90" t="str">
        <f>REPLACE(INDEX(GroupVertices[Group],MATCH("~"&amp;Edges[[#This Row],[Vertex 1]],GroupVertices[Vertex],0)),1,1,"")</f>
        <v>4</v>
      </c>
      <c r="P8" s="90" t="str">
        <f>REPLACE(INDEX(GroupVertices[Group],MATCH("~"&amp;Edges[[#This Row],[Vertex 2]],GroupVertices[Vertex],0)),1,1,"")</f>
        <v>4</v>
      </c>
    </row>
    <row r="9" spans="1:16" ht="45">
      <c r="A9" s="46" t="s">
        <v>249</v>
      </c>
      <c r="B9" s="46" t="s">
        <v>277</v>
      </c>
      <c r="C9" s="49" t="s">
        <v>402</v>
      </c>
      <c r="D9" s="50">
        <v>4.4</v>
      </c>
      <c r="E9" s="61"/>
      <c r="F9" s="51">
        <v>72</v>
      </c>
      <c r="G9" s="49"/>
      <c r="H9" s="53"/>
      <c r="I9" s="52"/>
      <c r="J9" s="52"/>
      <c r="K9" s="63"/>
      <c r="L9" s="83">
        <v>9</v>
      </c>
      <c r="M9" s="83"/>
      <c r="N9" s="86">
        <v>4</v>
      </c>
      <c r="O9" s="90" t="str">
        <f>REPLACE(INDEX(GroupVertices[Group],MATCH("~"&amp;Edges[[#This Row],[Vertex 1]],GroupVertices[Vertex],0)),1,1,"")</f>
        <v>4</v>
      </c>
      <c r="P9" s="90" t="str">
        <f>REPLACE(INDEX(GroupVertices[Group],MATCH("~"&amp;Edges[[#This Row],[Vertex 2]],GroupVertices[Vertex],0)),1,1,"")</f>
        <v>1</v>
      </c>
    </row>
    <row r="10" spans="1:16" ht="15">
      <c r="A10" s="46" t="s">
        <v>250</v>
      </c>
      <c r="B10" s="46" t="s">
        <v>263</v>
      </c>
      <c r="C10" s="49" t="s">
        <v>401</v>
      </c>
      <c r="D10" s="50">
        <v>10</v>
      </c>
      <c r="E10" s="61"/>
      <c r="F10" s="51">
        <v>40</v>
      </c>
      <c r="G10" s="49"/>
      <c r="H10" s="53"/>
      <c r="I10" s="52"/>
      <c r="J10" s="52"/>
      <c r="K10" s="63"/>
      <c r="L10" s="83">
        <v>10</v>
      </c>
      <c r="M10" s="83"/>
      <c r="N10" s="86">
        <v>9</v>
      </c>
      <c r="O10" s="90" t="str">
        <f>REPLACE(INDEX(GroupVertices[Group],MATCH("~"&amp;Edges[[#This Row],[Vertex 1]],GroupVertices[Vertex],0)),1,1,"")</f>
        <v>3</v>
      </c>
      <c r="P10" s="90" t="str">
        <f>REPLACE(INDEX(GroupVertices[Group],MATCH("~"&amp;Edges[[#This Row],[Vertex 2]],GroupVertices[Vertex],0)),1,1,"")</f>
        <v>3</v>
      </c>
    </row>
    <row r="11" spans="1:16" ht="45">
      <c r="A11" s="46" t="s">
        <v>250</v>
      </c>
      <c r="B11" s="46" t="s">
        <v>266</v>
      </c>
      <c r="C11" s="49" t="s">
        <v>398</v>
      </c>
      <c r="D11" s="50">
        <v>3</v>
      </c>
      <c r="E11" s="61"/>
      <c r="F11" s="51">
        <v>80</v>
      </c>
      <c r="G11" s="49"/>
      <c r="H11" s="53"/>
      <c r="I11" s="52"/>
      <c r="J11" s="52"/>
      <c r="K11" s="63"/>
      <c r="L11" s="83">
        <v>11</v>
      </c>
      <c r="M11" s="83"/>
      <c r="N11" s="86">
        <v>2</v>
      </c>
      <c r="O11" s="90" t="str">
        <f>REPLACE(INDEX(GroupVertices[Group],MATCH("~"&amp;Edges[[#This Row],[Vertex 1]],GroupVertices[Vertex],0)),1,1,"")</f>
        <v>3</v>
      </c>
      <c r="P11" s="90" t="str">
        <f>REPLACE(INDEX(GroupVertices[Group],MATCH("~"&amp;Edges[[#This Row],[Vertex 2]],GroupVertices[Vertex],0)),1,1,"")</f>
        <v>3</v>
      </c>
    </row>
    <row r="12" spans="1:16" ht="15">
      <c r="A12" s="46" t="s">
        <v>251</v>
      </c>
      <c r="B12" s="46" t="s">
        <v>262</v>
      </c>
      <c r="C12" s="49" t="s">
        <v>401</v>
      </c>
      <c r="D12" s="50">
        <v>10</v>
      </c>
      <c r="E12" s="61"/>
      <c r="F12" s="51">
        <v>40</v>
      </c>
      <c r="G12" s="49"/>
      <c r="H12" s="53"/>
      <c r="I12" s="52"/>
      <c r="J12" s="52"/>
      <c r="K12" s="63"/>
      <c r="L12" s="83">
        <v>12</v>
      </c>
      <c r="M12" s="83"/>
      <c r="N12" s="86">
        <v>10</v>
      </c>
      <c r="O12" s="90" t="str">
        <f>REPLACE(INDEX(GroupVertices[Group],MATCH("~"&amp;Edges[[#This Row],[Vertex 1]],GroupVertices[Vertex],0)),1,1,"")</f>
        <v>4</v>
      </c>
      <c r="P12" s="90" t="str">
        <f>REPLACE(INDEX(GroupVertices[Group],MATCH("~"&amp;Edges[[#This Row],[Vertex 2]],GroupVertices[Vertex],0)),1,1,"")</f>
        <v>4</v>
      </c>
    </row>
    <row r="13" spans="1:16" ht="15">
      <c r="A13" s="46" t="s">
        <v>252</v>
      </c>
      <c r="B13" s="46" t="s">
        <v>257</v>
      </c>
      <c r="C13" s="49" t="s">
        <v>401</v>
      </c>
      <c r="D13" s="50">
        <v>10</v>
      </c>
      <c r="E13" s="61"/>
      <c r="F13" s="51">
        <v>40</v>
      </c>
      <c r="G13" s="49"/>
      <c r="H13" s="53"/>
      <c r="I13" s="52"/>
      <c r="J13" s="52"/>
      <c r="K13" s="63"/>
      <c r="L13" s="83">
        <v>13</v>
      </c>
      <c r="M13" s="83"/>
      <c r="N13" s="86">
        <v>9</v>
      </c>
      <c r="O13" s="90" t="str">
        <f>REPLACE(INDEX(GroupVertices[Group],MATCH("~"&amp;Edges[[#This Row],[Vertex 1]],GroupVertices[Vertex],0)),1,1,"")</f>
        <v>1</v>
      </c>
      <c r="P13" s="90" t="str">
        <f>REPLACE(INDEX(GroupVertices[Group],MATCH("~"&amp;Edges[[#This Row],[Vertex 2]],GroupVertices[Vertex],0)),1,1,"")</f>
        <v>2</v>
      </c>
    </row>
    <row r="14" spans="1:16" ht="15">
      <c r="A14" s="46" t="s">
        <v>252</v>
      </c>
      <c r="B14" s="46" t="s">
        <v>258</v>
      </c>
      <c r="C14" s="49" t="s">
        <v>401</v>
      </c>
      <c r="D14" s="50">
        <v>10</v>
      </c>
      <c r="E14" s="61"/>
      <c r="F14" s="51">
        <v>40</v>
      </c>
      <c r="G14" s="49"/>
      <c r="H14" s="53"/>
      <c r="I14" s="52"/>
      <c r="J14" s="52"/>
      <c r="K14" s="63"/>
      <c r="L14" s="83">
        <v>14</v>
      </c>
      <c r="M14" s="83"/>
      <c r="N14" s="86">
        <v>10</v>
      </c>
      <c r="O14" s="90" t="str">
        <f>REPLACE(INDEX(GroupVertices[Group],MATCH("~"&amp;Edges[[#This Row],[Vertex 1]],GroupVertices[Vertex],0)),1,1,"")</f>
        <v>1</v>
      </c>
      <c r="P14" s="90" t="str">
        <f>REPLACE(INDEX(GroupVertices[Group],MATCH("~"&amp;Edges[[#This Row],[Vertex 2]],GroupVertices[Vertex],0)),1,1,"")</f>
        <v>1</v>
      </c>
    </row>
    <row r="15" spans="1:16" ht="45">
      <c r="A15" s="46" t="s">
        <v>252</v>
      </c>
      <c r="B15" s="46" t="s">
        <v>263</v>
      </c>
      <c r="C15" s="49" t="s">
        <v>400</v>
      </c>
      <c r="D15" s="50">
        <v>5.8</v>
      </c>
      <c r="E15" s="61"/>
      <c r="F15" s="51">
        <v>64</v>
      </c>
      <c r="G15" s="49"/>
      <c r="H15" s="53"/>
      <c r="I15" s="52"/>
      <c r="J15" s="52"/>
      <c r="K15" s="63"/>
      <c r="L15" s="83">
        <v>15</v>
      </c>
      <c r="M15" s="83"/>
      <c r="N15" s="86">
        <v>5</v>
      </c>
      <c r="O15" s="90" t="str">
        <f>REPLACE(INDEX(GroupVertices[Group],MATCH("~"&amp;Edges[[#This Row],[Vertex 1]],GroupVertices[Vertex],0)),1,1,"")</f>
        <v>1</v>
      </c>
      <c r="P15" s="90" t="str">
        <f>REPLACE(INDEX(GroupVertices[Group],MATCH("~"&amp;Edges[[#This Row],[Vertex 2]],GroupVertices[Vertex],0)),1,1,"")</f>
        <v>3</v>
      </c>
    </row>
    <row r="16" spans="1:16" ht="45">
      <c r="A16" s="46" t="s">
        <v>252</v>
      </c>
      <c r="B16" s="46" t="s">
        <v>269</v>
      </c>
      <c r="C16" s="49" t="s">
        <v>398</v>
      </c>
      <c r="D16" s="50">
        <v>3</v>
      </c>
      <c r="E16" s="61"/>
      <c r="F16" s="51">
        <v>80</v>
      </c>
      <c r="G16" s="49"/>
      <c r="H16" s="53"/>
      <c r="I16" s="52"/>
      <c r="J16" s="52"/>
      <c r="K16" s="63"/>
      <c r="L16" s="83">
        <v>16</v>
      </c>
      <c r="M16" s="83"/>
      <c r="N16" s="86">
        <v>2</v>
      </c>
      <c r="O16" s="90" t="str">
        <f>REPLACE(INDEX(GroupVertices[Group],MATCH("~"&amp;Edges[[#This Row],[Vertex 1]],GroupVertices[Vertex],0)),1,1,"")</f>
        <v>1</v>
      </c>
      <c r="P16" s="90" t="str">
        <f>REPLACE(INDEX(GroupVertices[Group],MATCH("~"&amp;Edges[[#This Row],[Vertex 2]],GroupVertices[Vertex],0)),1,1,"")</f>
        <v>1</v>
      </c>
    </row>
    <row r="17" spans="1:16" ht="45">
      <c r="A17" s="46" t="s">
        <v>253</v>
      </c>
      <c r="B17" s="46" t="s">
        <v>268</v>
      </c>
      <c r="C17" s="49" t="s">
        <v>402</v>
      </c>
      <c r="D17" s="50">
        <v>4.4</v>
      </c>
      <c r="E17" s="61"/>
      <c r="F17" s="51">
        <v>72</v>
      </c>
      <c r="G17" s="49"/>
      <c r="H17" s="53"/>
      <c r="I17" s="52"/>
      <c r="J17" s="52"/>
      <c r="K17" s="63"/>
      <c r="L17" s="83">
        <v>17</v>
      </c>
      <c r="M17" s="83"/>
      <c r="N17" s="86">
        <v>4</v>
      </c>
      <c r="O17" s="90" t="str">
        <f>REPLACE(INDEX(GroupVertices[Group],MATCH("~"&amp;Edges[[#This Row],[Vertex 1]],GroupVertices[Vertex],0)),1,1,"")</f>
        <v>2</v>
      </c>
      <c r="P17" s="90" t="str">
        <f>REPLACE(INDEX(GroupVertices[Group],MATCH("~"&amp;Edges[[#This Row],[Vertex 2]],GroupVertices[Vertex],0)),1,1,"")</f>
        <v>2</v>
      </c>
    </row>
    <row r="18" spans="1:16" ht="30">
      <c r="A18" s="46" t="s">
        <v>253</v>
      </c>
      <c r="B18" s="46" t="s">
        <v>270</v>
      </c>
      <c r="C18" s="49" t="s">
        <v>399</v>
      </c>
      <c r="D18" s="50">
        <v>8.6</v>
      </c>
      <c r="E18" s="61"/>
      <c r="F18" s="51">
        <v>48</v>
      </c>
      <c r="G18" s="49"/>
      <c r="H18" s="53"/>
      <c r="I18" s="52"/>
      <c r="J18" s="52"/>
      <c r="K18" s="63"/>
      <c r="L18" s="83">
        <v>18</v>
      </c>
      <c r="M18" s="83"/>
      <c r="N18" s="86">
        <v>7</v>
      </c>
      <c r="O18" s="90" t="str">
        <f>REPLACE(INDEX(GroupVertices[Group],MATCH("~"&amp;Edges[[#This Row],[Vertex 1]],GroupVertices[Vertex],0)),1,1,"")</f>
        <v>2</v>
      </c>
      <c r="P18" s="90" t="str">
        <f>REPLACE(INDEX(GroupVertices[Group],MATCH("~"&amp;Edges[[#This Row],[Vertex 2]],GroupVertices[Vertex],0)),1,1,"")</f>
        <v>2</v>
      </c>
    </row>
    <row r="19" spans="1:16" ht="15">
      <c r="A19" s="46" t="s">
        <v>253</v>
      </c>
      <c r="B19" s="46" t="s">
        <v>275</v>
      </c>
      <c r="C19" s="49" t="s">
        <v>401</v>
      </c>
      <c r="D19" s="50">
        <v>10</v>
      </c>
      <c r="E19" s="61"/>
      <c r="F19" s="51">
        <v>40</v>
      </c>
      <c r="G19" s="49"/>
      <c r="H19" s="53"/>
      <c r="I19" s="52"/>
      <c r="J19" s="52"/>
      <c r="K19" s="63"/>
      <c r="L19" s="83">
        <v>19</v>
      </c>
      <c r="M19" s="83"/>
      <c r="N19" s="86">
        <v>8</v>
      </c>
      <c r="O19" s="90" t="str">
        <f>REPLACE(INDEX(GroupVertices[Group],MATCH("~"&amp;Edges[[#This Row],[Vertex 1]],GroupVertices[Vertex],0)),1,1,"")</f>
        <v>2</v>
      </c>
      <c r="P19" s="90" t="str">
        <f>REPLACE(INDEX(GroupVertices[Group],MATCH("~"&amp;Edges[[#This Row],[Vertex 2]],GroupVertices[Vertex],0)),1,1,"")</f>
        <v>2</v>
      </c>
    </row>
    <row r="20" spans="1:16" ht="45">
      <c r="A20" s="46" t="s">
        <v>253</v>
      </c>
      <c r="B20" s="46" t="s">
        <v>278</v>
      </c>
      <c r="C20" s="49" t="s">
        <v>398</v>
      </c>
      <c r="D20" s="50">
        <v>3</v>
      </c>
      <c r="E20" s="61"/>
      <c r="F20" s="51">
        <v>80</v>
      </c>
      <c r="G20" s="49"/>
      <c r="H20" s="53"/>
      <c r="I20" s="52"/>
      <c r="J20" s="52"/>
      <c r="K20" s="63"/>
      <c r="L20" s="83">
        <v>20</v>
      </c>
      <c r="M20" s="83"/>
      <c r="N20" s="86">
        <v>3</v>
      </c>
      <c r="O20" s="90" t="str">
        <f>REPLACE(INDEX(GroupVertices[Group],MATCH("~"&amp;Edges[[#This Row],[Vertex 1]],GroupVertices[Vertex],0)),1,1,"")</f>
        <v>2</v>
      </c>
      <c r="P20" s="90" t="str">
        <f>REPLACE(INDEX(GroupVertices[Group],MATCH("~"&amp;Edges[[#This Row],[Vertex 2]],GroupVertices[Vertex],0)),1,1,"")</f>
        <v>2</v>
      </c>
    </row>
    <row r="21" spans="1:16" ht="45">
      <c r="A21" s="46" t="s">
        <v>254</v>
      </c>
      <c r="B21" s="46" t="s">
        <v>256</v>
      </c>
      <c r="C21" s="49" t="s">
        <v>398</v>
      </c>
      <c r="D21" s="50">
        <v>3</v>
      </c>
      <c r="E21" s="61"/>
      <c r="F21" s="51">
        <v>80</v>
      </c>
      <c r="G21" s="49"/>
      <c r="H21" s="53"/>
      <c r="I21" s="52"/>
      <c r="J21" s="52"/>
      <c r="K21" s="63"/>
      <c r="L21" s="83">
        <v>21</v>
      </c>
      <c r="M21" s="83"/>
      <c r="N21" s="86">
        <v>1</v>
      </c>
      <c r="O21" s="90" t="str">
        <f>REPLACE(INDEX(GroupVertices[Group],MATCH("~"&amp;Edges[[#This Row],[Vertex 1]],GroupVertices[Vertex],0)),1,1,"")</f>
        <v>1</v>
      </c>
      <c r="P21" s="90" t="str">
        <f>REPLACE(INDEX(GroupVertices[Group],MATCH("~"&amp;Edges[[#This Row],[Vertex 2]],GroupVertices[Vertex],0)),1,1,"")</f>
        <v>1</v>
      </c>
    </row>
    <row r="22" spans="1:16" ht="45">
      <c r="A22" s="46" t="s">
        <v>255</v>
      </c>
      <c r="B22" s="46" t="s">
        <v>257</v>
      </c>
      <c r="C22" s="49" t="s">
        <v>402</v>
      </c>
      <c r="D22" s="50">
        <v>4.4</v>
      </c>
      <c r="E22" s="61"/>
      <c r="F22" s="51">
        <v>72</v>
      </c>
      <c r="G22" s="49"/>
      <c r="H22" s="53"/>
      <c r="I22" s="52"/>
      <c r="J22" s="52"/>
      <c r="K22" s="63"/>
      <c r="L22" s="83">
        <v>22</v>
      </c>
      <c r="M22" s="83"/>
      <c r="N22" s="86">
        <v>4</v>
      </c>
      <c r="O22" s="90" t="str">
        <f>REPLACE(INDEX(GroupVertices[Group],MATCH("~"&amp;Edges[[#This Row],[Vertex 1]],GroupVertices[Vertex],0)),1,1,"")</f>
        <v>3</v>
      </c>
      <c r="P22" s="90" t="str">
        <f>REPLACE(INDEX(GroupVertices[Group],MATCH("~"&amp;Edges[[#This Row],[Vertex 2]],GroupVertices[Vertex],0)),1,1,"")</f>
        <v>2</v>
      </c>
    </row>
    <row r="23" spans="1:16" ht="45">
      <c r="A23" s="46" t="s">
        <v>255</v>
      </c>
      <c r="B23" s="46" t="s">
        <v>262</v>
      </c>
      <c r="C23" s="49" t="s">
        <v>398</v>
      </c>
      <c r="D23" s="50">
        <v>3</v>
      </c>
      <c r="E23" s="61"/>
      <c r="F23" s="51">
        <v>80</v>
      </c>
      <c r="G23" s="49"/>
      <c r="H23" s="53"/>
      <c r="I23" s="52"/>
      <c r="J23" s="52"/>
      <c r="K23" s="63"/>
      <c r="L23" s="83">
        <v>23</v>
      </c>
      <c r="M23" s="83"/>
      <c r="N23" s="86">
        <v>2</v>
      </c>
      <c r="O23" s="90" t="str">
        <f>REPLACE(INDEX(GroupVertices[Group],MATCH("~"&amp;Edges[[#This Row],[Vertex 1]],GroupVertices[Vertex],0)),1,1,"")</f>
        <v>3</v>
      </c>
      <c r="P23" s="90" t="str">
        <f>REPLACE(INDEX(GroupVertices[Group],MATCH("~"&amp;Edges[[#This Row],[Vertex 2]],GroupVertices[Vertex],0)),1,1,"")</f>
        <v>4</v>
      </c>
    </row>
    <row r="24" spans="1:16" ht="15">
      <c r="A24" s="46" t="s">
        <v>255</v>
      </c>
      <c r="B24" s="46" t="s">
        <v>273</v>
      </c>
      <c r="C24" s="49" t="s">
        <v>401</v>
      </c>
      <c r="D24" s="50">
        <v>10</v>
      </c>
      <c r="E24" s="61"/>
      <c r="F24" s="51">
        <v>40</v>
      </c>
      <c r="G24" s="49"/>
      <c r="H24" s="53"/>
      <c r="I24" s="52"/>
      <c r="J24" s="52"/>
      <c r="K24" s="63"/>
      <c r="L24" s="83">
        <v>24</v>
      </c>
      <c r="M24" s="83"/>
      <c r="N24" s="86">
        <v>8</v>
      </c>
      <c r="O24" s="90" t="str">
        <f>REPLACE(INDEX(GroupVertices[Group],MATCH("~"&amp;Edges[[#This Row],[Vertex 1]],GroupVertices[Vertex],0)),1,1,"")</f>
        <v>3</v>
      </c>
      <c r="P24" s="90" t="str">
        <f>REPLACE(INDEX(GroupVertices[Group],MATCH("~"&amp;Edges[[#This Row],[Vertex 2]],GroupVertices[Vertex],0)),1,1,"")</f>
        <v>3</v>
      </c>
    </row>
    <row r="25" spans="1:16" ht="45">
      <c r="A25" s="46" t="s">
        <v>256</v>
      </c>
      <c r="B25" s="46" t="s">
        <v>258</v>
      </c>
      <c r="C25" s="49" t="s">
        <v>402</v>
      </c>
      <c r="D25" s="50">
        <v>4.4</v>
      </c>
      <c r="E25" s="61"/>
      <c r="F25" s="51">
        <v>72</v>
      </c>
      <c r="G25" s="49"/>
      <c r="H25" s="53"/>
      <c r="I25" s="52"/>
      <c r="J25" s="52"/>
      <c r="K25" s="63"/>
      <c r="L25" s="83">
        <v>25</v>
      </c>
      <c r="M25" s="83"/>
      <c r="N25" s="86">
        <v>4</v>
      </c>
      <c r="O25" s="90" t="str">
        <f>REPLACE(INDEX(GroupVertices[Group],MATCH("~"&amp;Edges[[#This Row],[Vertex 1]],GroupVertices[Vertex],0)),1,1,"")</f>
        <v>1</v>
      </c>
      <c r="P25" s="90" t="str">
        <f>REPLACE(INDEX(GroupVertices[Group],MATCH("~"&amp;Edges[[#This Row],[Vertex 2]],GroupVertices[Vertex],0)),1,1,"")</f>
        <v>1</v>
      </c>
    </row>
    <row r="26" spans="1:16" ht="45">
      <c r="A26" s="46" t="s">
        <v>256</v>
      </c>
      <c r="B26" s="46" t="s">
        <v>272</v>
      </c>
      <c r="C26" s="49" t="s">
        <v>398</v>
      </c>
      <c r="D26" s="50">
        <v>3</v>
      </c>
      <c r="E26" s="61"/>
      <c r="F26" s="51">
        <v>80</v>
      </c>
      <c r="G26" s="49"/>
      <c r="H26" s="53"/>
      <c r="I26" s="52"/>
      <c r="J26" s="52"/>
      <c r="K26" s="63"/>
      <c r="L26" s="83">
        <v>26</v>
      </c>
      <c r="M26" s="83"/>
      <c r="N26" s="86">
        <v>2</v>
      </c>
      <c r="O26" s="90" t="str">
        <f>REPLACE(INDEX(GroupVertices[Group],MATCH("~"&amp;Edges[[#This Row],[Vertex 1]],GroupVertices[Vertex],0)),1,1,"")</f>
        <v>1</v>
      </c>
      <c r="P26" s="90" t="str">
        <f>REPLACE(INDEX(GroupVertices[Group],MATCH("~"&amp;Edges[[#This Row],[Vertex 2]],GroupVertices[Vertex],0)),1,1,"")</f>
        <v>1</v>
      </c>
    </row>
    <row r="27" spans="1:16" ht="30">
      <c r="A27" s="46" t="s">
        <v>257</v>
      </c>
      <c r="B27" s="46" t="s">
        <v>261</v>
      </c>
      <c r="C27" s="49" t="s">
        <v>403</v>
      </c>
      <c r="D27" s="50">
        <v>7.2</v>
      </c>
      <c r="E27" s="61"/>
      <c r="F27" s="51">
        <v>56</v>
      </c>
      <c r="G27" s="49"/>
      <c r="H27" s="53"/>
      <c r="I27" s="52"/>
      <c r="J27" s="52"/>
      <c r="K27" s="63"/>
      <c r="L27" s="83">
        <v>27</v>
      </c>
      <c r="M27" s="83"/>
      <c r="N27" s="86">
        <v>6</v>
      </c>
      <c r="O27" s="90" t="str">
        <f>REPLACE(INDEX(GroupVertices[Group],MATCH("~"&amp;Edges[[#This Row],[Vertex 1]],GroupVertices[Vertex],0)),1,1,"")</f>
        <v>2</v>
      </c>
      <c r="P27" s="90" t="str">
        <f>REPLACE(INDEX(GroupVertices[Group],MATCH("~"&amp;Edges[[#This Row],[Vertex 2]],GroupVertices[Vertex],0)),1,1,"")</f>
        <v>2</v>
      </c>
    </row>
    <row r="28" spans="1:16" ht="30">
      <c r="A28" s="46" t="s">
        <v>257</v>
      </c>
      <c r="B28" s="46" t="s">
        <v>278</v>
      </c>
      <c r="C28" s="49" t="s">
        <v>403</v>
      </c>
      <c r="D28" s="50">
        <v>7.2</v>
      </c>
      <c r="E28" s="61"/>
      <c r="F28" s="51">
        <v>56</v>
      </c>
      <c r="G28" s="49"/>
      <c r="H28" s="53"/>
      <c r="I28" s="52"/>
      <c r="J28" s="52"/>
      <c r="K28" s="63"/>
      <c r="L28" s="83">
        <v>28</v>
      </c>
      <c r="M28" s="83"/>
      <c r="N28" s="86">
        <v>6</v>
      </c>
      <c r="O28" s="90" t="str">
        <f>REPLACE(INDEX(GroupVertices[Group],MATCH("~"&amp;Edges[[#This Row],[Vertex 1]],GroupVertices[Vertex],0)),1,1,"")</f>
        <v>2</v>
      </c>
      <c r="P28" s="90" t="str">
        <f>REPLACE(INDEX(GroupVertices[Group],MATCH("~"&amp;Edges[[#This Row],[Vertex 2]],GroupVertices[Vertex],0)),1,1,"")</f>
        <v>2</v>
      </c>
    </row>
    <row r="29" spans="1:16" ht="15">
      <c r="A29" s="46" t="s">
        <v>258</v>
      </c>
      <c r="B29" s="46" t="s">
        <v>264</v>
      </c>
      <c r="C29" s="49" t="s">
        <v>401</v>
      </c>
      <c r="D29" s="50">
        <v>10</v>
      </c>
      <c r="E29" s="61"/>
      <c r="F29" s="51">
        <v>40</v>
      </c>
      <c r="G29" s="49"/>
      <c r="H29" s="53"/>
      <c r="I29" s="52"/>
      <c r="J29" s="52"/>
      <c r="K29" s="63"/>
      <c r="L29" s="83">
        <v>29</v>
      </c>
      <c r="M29" s="83"/>
      <c r="N29" s="86">
        <v>10</v>
      </c>
      <c r="O29" s="90" t="str">
        <f>REPLACE(INDEX(GroupVertices[Group],MATCH("~"&amp;Edges[[#This Row],[Vertex 1]],GroupVertices[Vertex],0)),1,1,"")</f>
        <v>1</v>
      </c>
      <c r="P29" s="90" t="str">
        <f>REPLACE(INDEX(GroupVertices[Group],MATCH("~"&amp;Edges[[#This Row],[Vertex 2]],GroupVertices[Vertex],0)),1,1,"")</f>
        <v>1</v>
      </c>
    </row>
    <row r="30" spans="1:16" ht="45">
      <c r="A30" s="46" t="s">
        <v>259</v>
      </c>
      <c r="B30" s="46" t="s">
        <v>267</v>
      </c>
      <c r="C30" s="49" t="s">
        <v>402</v>
      </c>
      <c r="D30" s="50">
        <v>4.4</v>
      </c>
      <c r="E30" s="61"/>
      <c r="F30" s="51">
        <v>72</v>
      </c>
      <c r="G30" s="49"/>
      <c r="H30" s="53"/>
      <c r="I30" s="52"/>
      <c r="J30" s="52"/>
      <c r="K30" s="63"/>
      <c r="L30" s="83">
        <v>30</v>
      </c>
      <c r="M30" s="83"/>
      <c r="N30" s="86">
        <v>4</v>
      </c>
      <c r="O30" s="90" t="str">
        <f>REPLACE(INDEX(GroupVertices[Group],MATCH("~"&amp;Edges[[#This Row],[Vertex 1]],GroupVertices[Vertex],0)),1,1,"")</f>
        <v>5</v>
      </c>
      <c r="P30" s="90" t="str">
        <f>REPLACE(INDEX(GroupVertices[Group],MATCH("~"&amp;Edges[[#This Row],[Vertex 2]],GroupVertices[Vertex],0)),1,1,"")</f>
        <v>5</v>
      </c>
    </row>
    <row r="31" spans="1:16" ht="30">
      <c r="A31" s="46" t="s">
        <v>259</v>
      </c>
      <c r="B31" s="46" t="s">
        <v>271</v>
      </c>
      <c r="C31" s="49" t="s">
        <v>403</v>
      </c>
      <c r="D31" s="50">
        <v>7.2</v>
      </c>
      <c r="E31" s="61"/>
      <c r="F31" s="51">
        <v>56</v>
      </c>
      <c r="G31" s="49"/>
      <c r="H31" s="53"/>
      <c r="I31" s="52"/>
      <c r="J31" s="52"/>
      <c r="K31" s="63"/>
      <c r="L31" s="83">
        <v>31</v>
      </c>
      <c r="M31" s="83"/>
      <c r="N31" s="86">
        <v>6</v>
      </c>
      <c r="O31" s="90" t="str">
        <f>REPLACE(INDEX(GroupVertices[Group],MATCH("~"&amp;Edges[[#This Row],[Vertex 1]],GroupVertices[Vertex],0)),1,1,"")</f>
        <v>5</v>
      </c>
      <c r="P31" s="90" t="str">
        <f>REPLACE(INDEX(GroupVertices[Group],MATCH("~"&amp;Edges[[#This Row],[Vertex 2]],GroupVertices[Vertex],0)),1,1,"")</f>
        <v>5</v>
      </c>
    </row>
    <row r="32" spans="1:16" ht="45">
      <c r="A32" s="46" t="s">
        <v>260</v>
      </c>
      <c r="B32" s="46" t="s">
        <v>266</v>
      </c>
      <c r="C32" s="49" t="s">
        <v>398</v>
      </c>
      <c r="D32" s="50">
        <v>3</v>
      </c>
      <c r="E32" s="61"/>
      <c r="F32" s="51">
        <v>80</v>
      </c>
      <c r="G32" s="49"/>
      <c r="H32" s="53"/>
      <c r="I32" s="52"/>
      <c r="J32" s="52"/>
      <c r="K32" s="63"/>
      <c r="L32" s="83">
        <v>32</v>
      </c>
      <c r="M32" s="83"/>
      <c r="N32" s="86">
        <v>2</v>
      </c>
      <c r="O32" s="90" t="str">
        <f>REPLACE(INDEX(GroupVertices[Group],MATCH("~"&amp;Edges[[#This Row],[Vertex 1]],GroupVertices[Vertex],0)),1,1,"")</f>
        <v>3</v>
      </c>
      <c r="P32" s="90" t="str">
        <f>REPLACE(INDEX(GroupVertices[Group],MATCH("~"&amp;Edges[[#This Row],[Vertex 2]],GroupVertices[Vertex],0)),1,1,"")</f>
        <v>3</v>
      </c>
    </row>
    <row r="33" spans="1:16" ht="15">
      <c r="A33" s="46" t="s">
        <v>261</v>
      </c>
      <c r="B33" s="46" t="s">
        <v>267</v>
      </c>
      <c r="C33" s="49" t="s">
        <v>401</v>
      </c>
      <c r="D33" s="50">
        <v>10</v>
      </c>
      <c r="E33" s="61"/>
      <c r="F33" s="51">
        <v>40</v>
      </c>
      <c r="G33" s="49"/>
      <c r="H33" s="53"/>
      <c r="I33" s="52"/>
      <c r="J33" s="52"/>
      <c r="K33" s="63"/>
      <c r="L33" s="83">
        <v>33</v>
      </c>
      <c r="M33" s="83"/>
      <c r="N33" s="86">
        <v>10</v>
      </c>
      <c r="O33" s="90" t="str">
        <f>REPLACE(INDEX(GroupVertices[Group],MATCH("~"&amp;Edges[[#This Row],[Vertex 1]],GroupVertices[Vertex],0)),1,1,"")</f>
        <v>2</v>
      </c>
      <c r="P33" s="90" t="str">
        <f>REPLACE(INDEX(GroupVertices[Group],MATCH("~"&amp;Edges[[#This Row],[Vertex 2]],GroupVertices[Vertex],0)),1,1,"")</f>
        <v>5</v>
      </c>
    </row>
    <row r="34" spans="1:16" ht="45">
      <c r="A34" s="46" t="s">
        <v>261</v>
      </c>
      <c r="B34" s="46" t="s">
        <v>270</v>
      </c>
      <c r="C34" s="49" t="s">
        <v>398</v>
      </c>
      <c r="D34" s="50">
        <v>3</v>
      </c>
      <c r="E34" s="61"/>
      <c r="F34" s="51">
        <v>80</v>
      </c>
      <c r="G34" s="49"/>
      <c r="H34" s="53"/>
      <c r="I34" s="52"/>
      <c r="J34" s="52"/>
      <c r="K34" s="63"/>
      <c r="L34" s="83">
        <v>34</v>
      </c>
      <c r="M34" s="83"/>
      <c r="N34" s="86">
        <v>2</v>
      </c>
      <c r="O34" s="90" t="str">
        <f>REPLACE(INDEX(GroupVertices[Group],MATCH("~"&amp;Edges[[#This Row],[Vertex 1]],GroupVertices[Vertex],0)),1,1,"")</f>
        <v>2</v>
      </c>
      <c r="P34" s="90" t="str">
        <f>REPLACE(INDEX(GroupVertices[Group],MATCH("~"&amp;Edges[[#This Row],[Vertex 2]],GroupVertices[Vertex],0)),1,1,"")</f>
        <v>2</v>
      </c>
    </row>
    <row r="35" spans="1:16" ht="15">
      <c r="A35" s="46" t="s">
        <v>261</v>
      </c>
      <c r="B35" s="46" t="s">
        <v>277</v>
      </c>
      <c r="C35" s="49" t="s">
        <v>401</v>
      </c>
      <c r="D35" s="50">
        <v>10</v>
      </c>
      <c r="E35" s="61"/>
      <c r="F35" s="51">
        <v>40</v>
      </c>
      <c r="G35" s="49"/>
      <c r="H35" s="53"/>
      <c r="I35" s="52"/>
      <c r="J35" s="52"/>
      <c r="K35" s="63"/>
      <c r="L35" s="83">
        <v>35</v>
      </c>
      <c r="M35" s="83"/>
      <c r="N35" s="86">
        <v>10</v>
      </c>
      <c r="O35" s="90" t="str">
        <f>REPLACE(INDEX(GroupVertices[Group],MATCH("~"&amp;Edges[[#This Row],[Vertex 1]],GroupVertices[Vertex],0)),1,1,"")</f>
        <v>2</v>
      </c>
      <c r="P35" s="90" t="str">
        <f>REPLACE(INDEX(GroupVertices[Group],MATCH("~"&amp;Edges[[#This Row],[Vertex 2]],GroupVertices[Vertex],0)),1,1,"")</f>
        <v>1</v>
      </c>
    </row>
    <row r="36" spans="1:16" ht="45">
      <c r="A36" s="46" t="s">
        <v>261</v>
      </c>
      <c r="B36" s="46" t="s">
        <v>278</v>
      </c>
      <c r="C36" s="49" t="s">
        <v>402</v>
      </c>
      <c r="D36" s="50">
        <v>4.4</v>
      </c>
      <c r="E36" s="61"/>
      <c r="F36" s="51">
        <v>72</v>
      </c>
      <c r="G36" s="49"/>
      <c r="H36" s="53"/>
      <c r="I36" s="52"/>
      <c r="J36" s="52"/>
      <c r="K36" s="63"/>
      <c r="L36" s="83">
        <v>36</v>
      </c>
      <c r="M36" s="83"/>
      <c r="N36" s="86">
        <v>4</v>
      </c>
      <c r="O36" s="90" t="str">
        <f>REPLACE(INDEX(GroupVertices[Group],MATCH("~"&amp;Edges[[#This Row],[Vertex 1]],GroupVertices[Vertex],0)),1,1,"")</f>
        <v>2</v>
      </c>
      <c r="P36" s="90" t="str">
        <f>REPLACE(INDEX(GroupVertices[Group],MATCH("~"&amp;Edges[[#This Row],[Vertex 2]],GroupVertices[Vertex],0)),1,1,"")</f>
        <v>2</v>
      </c>
    </row>
    <row r="37" spans="1:16" ht="15">
      <c r="A37" s="46" t="s">
        <v>263</v>
      </c>
      <c r="B37" s="46" t="s">
        <v>273</v>
      </c>
      <c r="C37" s="49" t="s">
        <v>401</v>
      </c>
      <c r="D37" s="50">
        <v>10</v>
      </c>
      <c r="E37" s="61"/>
      <c r="F37" s="51">
        <v>40</v>
      </c>
      <c r="G37" s="49"/>
      <c r="H37" s="53"/>
      <c r="I37" s="52"/>
      <c r="J37" s="52"/>
      <c r="K37" s="63"/>
      <c r="L37" s="83">
        <v>37</v>
      </c>
      <c r="M37" s="83"/>
      <c r="N37" s="86">
        <v>8</v>
      </c>
      <c r="O37" s="90" t="str">
        <f>REPLACE(INDEX(GroupVertices[Group],MATCH("~"&amp;Edges[[#This Row],[Vertex 1]],GroupVertices[Vertex],0)),1,1,"")</f>
        <v>3</v>
      </c>
      <c r="P37" s="90" t="str">
        <f>REPLACE(INDEX(GroupVertices[Group],MATCH("~"&amp;Edges[[#This Row],[Vertex 2]],GroupVertices[Vertex],0)),1,1,"")</f>
        <v>3</v>
      </c>
    </row>
    <row r="38" spans="1:16" ht="30">
      <c r="A38" s="46" t="s">
        <v>264</v>
      </c>
      <c r="B38" s="46" t="s">
        <v>277</v>
      </c>
      <c r="C38" s="49" t="s">
        <v>399</v>
      </c>
      <c r="D38" s="50">
        <v>8.6</v>
      </c>
      <c r="E38" s="61"/>
      <c r="F38" s="51">
        <v>48</v>
      </c>
      <c r="G38" s="49"/>
      <c r="H38" s="53"/>
      <c r="I38" s="52"/>
      <c r="J38" s="52"/>
      <c r="K38" s="63"/>
      <c r="L38" s="83">
        <v>38</v>
      </c>
      <c r="M38" s="83"/>
      <c r="N38" s="86">
        <v>7</v>
      </c>
      <c r="O38" s="90" t="str">
        <f>REPLACE(INDEX(GroupVertices[Group],MATCH("~"&amp;Edges[[#This Row],[Vertex 1]],GroupVertices[Vertex],0)),1,1,"")</f>
        <v>1</v>
      </c>
      <c r="P38" s="90" t="str">
        <f>REPLACE(INDEX(GroupVertices[Group],MATCH("~"&amp;Edges[[#This Row],[Vertex 2]],GroupVertices[Vertex],0)),1,1,"")</f>
        <v>1</v>
      </c>
    </row>
    <row r="39" spans="1:16" ht="15">
      <c r="A39" s="46" t="s">
        <v>266</v>
      </c>
      <c r="B39" s="46" t="s">
        <v>278</v>
      </c>
      <c r="C39" s="49" t="s">
        <v>401</v>
      </c>
      <c r="D39" s="50">
        <v>10</v>
      </c>
      <c r="E39" s="61"/>
      <c r="F39" s="51">
        <v>40</v>
      </c>
      <c r="G39" s="49"/>
      <c r="H39" s="53"/>
      <c r="I39" s="52"/>
      <c r="J39" s="52"/>
      <c r="K39" s="63"/>
      <c r="L39" s="83">
        <v>39</v>
      </c>
      <c r="M39" s="83"/>
      <c r="N39" s="86">
        <v>9</v>
      </c>
      <c r="O39" s="90" t="str">
        <f>REPLACE(INDEX(GroupVertices[Group],MATCH("~"&amp;Edges[[#This Row],[Vertex 1]],GroupVertices[Vertex],0)),1,1,"")</f>
        <v>3</v>
      </c>
      <c r="P39" s="90" t="str">
        <f>REPLACE(INDEX(GroupVertices[Group],MATCH("~"&amp;Edges[[#This Row],[Vertex 2]],GroupVertices[Vertex],0)),1,1,"")</f>
        <v>2</v>
      </c>
    </row>
    <row r="40" spans="1:16" ht="15">
      <c r="A40" s="46" t="s">
        <v>267</v>
      </c>
      <c r="B40" s="46" t="s">
        <v>274</v>
      </c>
      <c r="C40" s="49" t="s">
        <v>401</v>
      </c>
      <c r="D40" s="50">
        <v>10</v>
      </c>
      <c r="E40" s="61"/>
      <c r="F40" s="51">
        <v>40</v>
      </c>
      <c r="G40" s="49"/>
      <c r="H40" s="53"/>
      <c r="I40" s="52"/>
      <c r="J40" s="52"/>
      <c r="K40" s="63"/>
      <c r="L40" s="83">
        <v>40</v>
      </c>
      <c r="M40" s="83"/>
      <c r="N40" s="86">
        <v>8</v>
      </c>
      <c r="O40" s="90" t="str">
        <f>REPLACE(INDEX(GroupVertices[Group],MATCH("~"&amp;Edges[[#This Row],[Vertex 1]],GroupVertices[Vertex],0)),1,1,"")</f>
        <v>5</v>
      </c>
      <c r="P40" s="90" t="str">
        <f>REPLACE(INDEX(GroupVertices[Group],MATCH("~"&amp;Edges[[#This Row],[Vertex 2]],GroupVertices[Vertex],0)),1,1,"")</f>
        <v>1</v>
      </c>
    </row>
    <row r="41" spans="1:16" ht="45">
      <c r="A41" s="46" t="s">
        <v>269</v>
      </c>
      <c r="B41" s="46" t="s">
        <v>274</v>
      </c>
      <c r="C41" s="49" t="s">
        <v>400</v>
      </c>
      <c r="D41" s="50">
        <v>5.8</v>
      </c>
      <c r="E41" s="61"/>
      <c r="F41" s="51">
        <v>64</v>
      </c>
      <c r="G41" s="49"/>
      <c r="H41" s="53"/>
      <c r="I41" s="52"/>
      <c r="J41" s="52"/>
      <c r="K41" s="63"/>
      <c r="L41" s="83">
        <v>41</v>
      </c>
      <c r="M41" s="83"/>
      <c r="N41" s="86">
        <v>5</v>
      </c>
      <c r="O41" s="90" t="str">
        <f>REPLACE(INDEX(GroupVertices[Group],MATCH("~"&amp;Edges[[#This Row],[Vertex 1]],GroupVertices[Vertex],0)),1,1,"")</f>
        <v>1</v>
      </c>
      <c r="P41" s="90" t="str">
        <f>REPLACE(INDEX(GroupVertices[Group],MATCH("~"&amp;Edges[[#This Row],[Vertex 2]],GroupVertices[Vertex],0)),1,1,"")</f>
        <v>1</v>
      </c>
    </row>
    <row r="42" spans="1:16" ht="45">
      <c r="A42" s="46" t="s">
        <v>270</v>
      </c>
      <c r="B42" s="46" t="s">
        <v>278</v>
      </c>
      <c r="C42" s="49" t="s">
        <v>398</v>
      </c>
      <c r="D42" s="50">
        <v>3</v>
      </c>
      <c r="E42" s="61"/>
      <c r="F42" s="51">
        <v>80</v>
      </c>
      <c r="G42" s="49"/>
      <c r="H42" s="53"/>
      <c r="I42" s="52"/>
      <c r="J42" s="52"/>
      <c r="K42" s="63"/>
      <c r="L42" s="83">
        <v>42</v>
      </c>
      <c r="M42" s="83"/>
      <c r="N42" s="86">
        <v>2</v>
      </c>
      <c r="O42" s="90" t="str">
        <f>REPLACE(INDEX(GroupVertices[Group],MATCH("~"&amp;Edges[[#This Row],[Vertex 1]],GroupVertices[Vertex],0)),1,1,"")</f>
        <v>2</v>
      </c>
      <c r="P42" s="90" t="str">
        <f>REPLACE(INDEX(GroupVertices[Group],MATCH("~"&amp;Edges[[#This Row],[Vertex 2]],GroupVertices[Vertex],0)),1,1,"")</f>
        <v>2</v>
      </c>
    </row>
    <row r="43" spans="1:16" ht="45">
      <c r="A43" s="46" t="s">
        <v>272</v>
      </c>
      <c r="B43" s="46" t="s">
        <v>274</v>
      </c>
      <c r="C43" s="49" t="s">
        <v>400</v>
      </c>
      <c r="D43" s="50">
        <v>5.8</v>
      </c>
      <c r="E43" s="61"/>
      <c r="F43" s="51">
        <v>64</v>
      </c>
      <c r="G43" s="49"/>
      <c r="H43" s="53"/>
      <c r="I43" s="52"/>
      <c r="J43" s="52"/>
      <c r="K43" s="63"/>
      <c r="L43" s="83">
        <v>43</v>
      </c>
      <c r="M43" s="83"/>
      <c r="N43" s="86">
        <v>5</v>
      </c>
      <c r="O43" s="90" t="str">
        <f>REPLACE(INDEX(GroupVertices[Group],MATCH("~"&amp;Edges[[#This Row],[Vertex 1]],GroupVertices[Vertex],0)),1,1,"")</f>
        <v>1</v>
      </c>
      <c r="P43" s="90" t="str">
        <f>REPLACE(INDEX(GroupVertices[Group],MATCH("~"&amp;Edges[[#This Row],[Vertex 2]],GroupVertices[Vertex],0)),1,1,"")</f>
        <v>1</v>
      </c>
    </row>
    <row r="44" spans="1:16" ht="15">
      <c r="A44" s="46" t="s">
        <v>272</v>
      </c>
      <c r="B44" s="46" t="s">
        <v>278</v>
      </c>
      <c r="C44" s="49" t="s">
        <v>401</v>
      </c>
      <c r="D44" s="50">
        <v>10</v>
      </c>
      <c r="E44" s="61"/>
      <c r="F44" s="51">
        <v>40</v>
      </c>
      <c r="G44" s="49"/>
      <c r="H44" s="53"/>
      <c r="I44" s="52"/>
      <c r="J44" s="52"/>
      <c r="K44" s="63"/>
      <c r="L44" s="83">
        <v>44</v>
      </c>
      <c r="M44" s="83"/>
      <c r="N44" s="86">
        <v>8</v>
      </c>
      <c r="O44" s="90" t="str">
        <f>REPLACE(INDEX(GroupVertices[Group],MATCH("~"&amp;Edges[[#This Row],[Vertex 1]],GroupVertices[Vertex],0)),1,1,"")</f>
        <v>1</v>
      </c>
      <c r="P44" s="90" t="str">
        <f>REPLACE(INDEX(GroupVertices[Group],MATCH("~"&amp;Edges[[#This Row],[Vertex 2]],GroupVertices[Vertex],0)),1,1,"")</f>
        <v>2</v>
      </c>
    </row>
    <row r="45" spans="1:16" ht="15">
      <c r="A45" s="46" t="s">
        <v>274</v>
      </c>
      <c r="B45" s="46" t="s">
        <v>277</v>
      </c>
      <c r="C45" s="49" t="s">
        <v>401</v>
      </c>
      <c r="D45" s="50">
        <v>10</v>
      </c>
      <c r="E45" s="61"/>
      <c r="F45" s="51">
        <v>40</v>
      </c>
      <c r="G45" s="49"/>
      <c r="H45" s="53"/>
      <c r="I45" s="52"/>
      <c r="J45" s="52"/>
      <c r="K45" s="63"/>
      <c r="L45" s="83">
        <v>45</v>
      </c>
      <c r="M45" s="83"/>
      <c r="N45" s="86">
        <v>10</v>
      </c>
      <c r="O45" s="90" t="str">
        <f>REPLACE(INDEX(GroupVertices[Group],MATCH("~"&amp;Edges[[#This Row],[Vertex 1]],GroupVertices[Vertex],0)),1,1,"")</f>
        <v>1</v>
      </c>
      <c r="P45" s="90"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2"/>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1" width="15.14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31" ht="30" customHeight="1">
      <c r="A2" s="10" t="s">
        <v>5</v>
      </c>
      <c r="B2" s="7" t="s">
        <v>2</v>
      </c>
      <c r="C2" s="7" t="s">
        <v>8</v>
      </c>
      <c r="D2" s="8" t="s">
        <v>45</v>
      </c>
      <c r="E2" s="9" t="s">
        <v>4</v>
      </c>
      <c r="F2" s="7" t="s">
        <v>48</v>
      </c>
      <c r="G2" s="7" t="s">
        <v>11</v>
      </c>
      <c r="H2" s="7" t="s">
        <v>46</v>
      </c>
      <c r="I2" s="7" t="s">
        <v>47</v>
      </c>
      <c r="J2" s="7" t="s">
        <v>77</v>
      </c>
      <c r="K2" s="7" t="s">
        <v>10</v>
      </c>
      <c r="L2" s="7" t="s">
        <v>26</v>
      </c>
      <c r="M2" s="7" t="s">
        <v>15</v>
      </c>
      <c r="N2" s="7" t="s">
        <v>16</v>
      </c>
      <c r="O2" s="7" t="s">
        <v>13</v>
      </c>
      <c r="P2" s="7" t="s">
        <v>27</v>
      </c>
      <c r="Q2" s="7" t="s">
        <v>28</v>
      </c>
      <c r="R2" s="7" t="s">
        <v>31</v>
      </c>
      <c r="S2" s="7" t="s">
        <v>32</v>
      </c>
      <c r="T2" s="7" t="s">
        <v>33</v>
      </c>
      <c r="U2" s="7" t="s">
        <v>34</v>
      </c>
      <c r="V2" s="7" t="s">
        <v>35</v>
      </c>
      <c r="W2" s="7" t="s">
        <v>36</v>
      </c>
      <c r="X2" s="7" t="s">
        <v>137</v>
      </c>
      <c r="Y2" s="7" t="s">
        <v>37</v>
      </c>
      <c r="Z2" s="7" t="s">
        <v>170</v>
      </c>
      <c r="AA2" s="10" t="s">
        <v>12</v>
      </c>
      <c r="AB2" s="10" t="s">
        <v>38</v>
      </c>
      <c r="AC2" s="7" t="s">
        <v>279</v>
      </c>
      <c r="AD2" s="7" t="s">
        <v>282</v>
      </c>
      <c r="AE2" s="7" t="s">
        <v>365</v>
      </c>
    </row>
    <row r="3" spans="1:31" ht="15" customHeight="1">
      <c r="A3" s="75" t="s">
        <v>249</v>
      </c>
      <c r="B3" s="49"/>
      <c r="C3" s="12" t="s">
        <v>56</v>
      </c>
      <c r="D3" s="50">
        <v>1000</v>
      </c>
      <c r="E3" s="51"/>
      <c r="F3" s="49"/>
      <c r="G3" s="49"/>
      <c r="H3" s="53" t="s">
        <v>249</v>
      </c>
      <c r="I3" s="52"/>
      <c r="J3" s="52"/>
      <c r="K3" s="53"/>
      <c r="L3" s="55">
        <v>7491.5590418070915</v>
      </c>
      <c r="M3" s="56"/>
      <c r="N3" s="56"/>
      <c r="O3" s="54"/>
      <c r="P3" s="57"/>
      <c r="Q3" s="57"/>
      <c r="R3" s="47">
        <v>7</v>
      </c>
      <c r="S3" s="47"/>
      <c r="T3" s="47"/>
      <c r="U3" s="48">
        <v>196.516667</v>
      </c>
      <c r="V3" s="48">
        <v>0.405797</v>
      </c>
      <c r="W3" s="48">
        <v>0.346985</v>
      </c>
      <c r="X3" s="48">
        <v>0.043816</v>
      </c>
      <c r="Y3" s="48">
        <v>0.023809523809523808</v>
      </c>
      <c r="Z3" s="48">
        <v>0</v>
      </c>
      <c r="AA3" s="58">
        <v>3</v>
      </c>
      <c r="AB3" s="58"/>
      <c r="AC3" s="84" t="s">
        <v>280</v>
      </c>
      <c r="AD3" s="1">
        <v>0.2420155993431855</v>
      </c>
      <c r="AE3" s="90" t="str">
        <f>REPLACE(INDEX(GroupVertices[Group],MATCH("~"&amp;Vertices[[#This Row],[Vertex]],GroupVertices[Vertex],0)),1,1,"")</f>
        <v>4</v>
      </c>
    </row>
    <row r="4" spans="1:31" ht="15">
      <c r="A4" s="11" t="s">
        <v>251</v>
      </c>
      <c r="B4" s="12"/>
      <c r="C4" s="12" t="s">
        <v>56</v>
      </c>
      <c r="D4" s="76">
        <v>100</v>
      </c>
      <c r="E4" s="77"/>
      <c r="F4" s="12"/>
      <c r="G4" s="12"/>
      <c r="H4" s="13" t="s">
        <v>251</v>
      </c>
      <c r="I4" s="62"/>
      <c r="J4" s="62"/>
      <c r="K4" s="13"/>
      <c r="L4" s="78">
        <v>1</v>
      </c>
      <c r="M4" s="79"/>
      <c r="N4" s="79"/>
      <c r="O4" s="73"/>
      <c r="P4" s="80"/>
      <c r="Q4" s="80"/>
      <c r="R4" s="47">
        <v>2</v>
      </c>
      <c r="S4" s="81"/>
      <c r="T4" s="81"/>
      <c r="U4" s="48">
        <v>0</v>
      </c>
      <c r="V4" s="48">
        <v>0.301075</v>
      </c>
      <c r="W4" s="48">
        <v>0.131326</v>
      </c>
      <c r="X4" s="48">
        <v>0.031968</v>
      </c>
      <c r="Y4" s="48">
        <v>0.5</v>
      </c>
      <c r="Z4" s="48">
        <v>0</v>
      </c>
      <c r="AA4" s="82">
        <v>4</v>
      </c>
      <c r="AB4" s="82"/>
      <c r="AC4" s="84" t="s">
        <v>280</v>
      </c>
      <c r="AD4" s="1">
        <v>0</v>
      </c>
      <c r="AE4" s="90" t="str">
        <f>REPLACE(INDEX(GroupVertices[Group],MATCH("~"&amp;Vertices[[#This Row],[Vertex]],GroupVertices[Vertex],0)),1,1,"")</f>
        <v>4</v>
      </c>
    </row>
    <row r="5" spans="1:31" ht="15">
      <c r="A5" s="11" t="s">
        <v>253</v>
      </c>
      <c r="B5" s="12"/>
      <c r="C5" s="12" t="s">
        <v>56</v>
      </c>
      <c r="D5" s="76">
        <v>972.9601978739064</v>
      </c>
      <c r="E5" s="77"/>
      <c r="F5" s="12"/>
      <c r="G5" s="12"/>
      <c r="H5" s="13" t="s">
        <v>253</v>
      </c>
      <c r="I5" s="62"/>
      <c r="J5" s="62"/>
      <c r="K5" s="13"/>
      <c r="L5" s="78">
        <v>4041.3659931376287</v>
      </c>
      <c r="M5" s="79"/>
      <c r="N5" s="79"/>
      <c r="O5" s="73"/>
      <c r="P5" s="80"/>
      <c r="Q5" s="80"/>
      <c r="R5" s="47">
        <v>4</v>
      </c>
      <c r="S5" s="81"/>
      <c r="T5" s="81"/>
      <c r="U5" s="48">
        <v>106</v>
      </c>
      <c r="V5" s="48">
        <v>0.333333</v>
      </c>
      <c r="W5" s="48">
        <v>0.179027</v>
      </c>
      <c r="X5" s="48">
        <v>0.041166</v>
      </c>
      <c r="Y5" s="48">
        <v>0.08333333333333333</v>
      </c>
      <c r="Z5" s="48">
        <v>0</v>
      </c>
      <c r="AA5" s="82">
        <v>5</v>
      </c>
      <c r="AB5" s="82"/>
      <c r="AC5" s="84" t="s">
        <v>280</v>
      </c>
      <c r="AD5" s="1">
        <v>0.1305418719211823</v>
      </c>
      <c r="AE5" s="90" t="str">
        <f>REPLACE(INDEX(GroupVertices[Group],MATCH("~"&amp;Vertices[[#This Row],[Vertex]],GroupVertices[Vertex],0)),1,1,"")</f>
        <v>2</v>
      </c>
    </row>
    <row r="6" spans="1:31" ht="15">
      <c r="A6" s="11" t="s">
        <v>255</v>
      </c>
      <c r="B6" s="12"/>
      <c r="C6" s="12" t="s">
        <v>56</v>
      </c>
      <c r="D6" s="76">
        <v>497.7733731821668</v>
      </c>
      <c r="E6" s="77"/>
      <c r="F6" s="12"/>
      <c r="G6" s="12"/>
      <c r="H6" s="13" t="s">
        <v>255</v>
      </c>
      <c r="I6" s="62"/>
      <c r="J6" s="62"/>
      <c r="K6" s="13"/>
      <c r="L6" s="78">
        <v>1842.0346930995042</v>
      </c>
      <c r="M6" s="79"/>
      <c r="N6" s="79"/>
      <c r="O6" s="73"/>
      <c r="P6" s="80"/>
      <c r="Q6" s="80"/>
      <c r="R6" s="47">
        <v>3</v>
      </c>
      <c r="S6" s="81"/>
      <c r="T6" s="81"/>
      <c r="U6" s="48">
        <v>48.3</v>
      </c>
      <c r="V6" s="48">
        <v>0.345679</v>
      </c>
      <c r="W6" s="48">
        <v>0.151018</v>
      </c>
      <c r="X6" s="48">
        <v>0.034551</v>
      </c>
      <c r="Y6" s="48">
        <v>0</v>
      </c>
      <c r="Z6" s="48">
        <v>0</v>
      </c>
      <c r="AA6" s="82">
        <v>6</v>
      </c>
      <c r="AB6" s="82"/>
      <c r="AC6" s="84" t="s">
        <v>280</v>
      </c>
      <c r="AD6" s="1">
        <v>0.05948275862068965</v>
      </c>
      <c r="AE6" s="90" t="str">
        <f>REPLACE(INDEX(GroupVertices[Group],MATCH("~"&amp;Vertices[[#This Row],[Vertex]],GroupVertices[Vertex],0)),1,1,"")</f>
        <v>3</v>
      </c>
    </row>
    <row r="7" spans="1:31" ht="15">
      <c r="A7" s="11" t="s">
        <v>257</v>
      </c>
      <c r="B7" s="12"/>
      <c r="C7" s="12" t="s">
        <v>56</v>
      </c>
      <c r="D7" s="76">
        <v>1000</v>
      </c>
      <c r="E7" s="77"/>
      <c r="F7" s="12"/>
      <c r="G7" s="12"/>
      <c r="H7" s="13" t="s">
        <v>257</v>
      </c>
      <c r="I7" s="62"/>
      <c r="J7" s="62"/>
      <c r="K7" s="13"/>
      <c r="L7" s="78">
        <v>7620.520396492565</v>
      </c>
      <c r="M7" s="79"/>
      <c r="N7" s="79"/>
      <c r="O7" s="73"/>
      <c r="P7" s="80"/>
      <c r="Q7" s="80"/>
      <c r="R7" s="47">
        <v>5</v>
      </c>
      <c r="S7" s="81"/>
      <c r="T7" s="81"/>
      <c r="U7" s="48">
        <v>199.9</v>
      </c>
      <c r="V7" s="48">
        <v>0.459016</v>
      </c>
      <c r="W7" s="48">
        <v>0.364915</v>
      </c>
      <c r="X7" s="48">
        <v>0.035343</v>
      </c>
      <c r="Y7" s="48">
        <v>0.05</v>
      </c>
      <c r="Z7" s="48">
        <v>0</v>
      </c>
      <c r="AA7" s="82">
        <v>7</v>
      </c>
      <c r="AB7" s="82"/>
      <c r="AC7" s="84" t="s">
        <v>280</v>
      </c>
      <c r="AD7" s="1">
        <v>0.2461822660098522</v>
      </c>
      <c r="AE7" s="90" t="str">
        <f>REPLACE(INDEX(GroupVertices[Group],MATCH("~"&amp;Vertices[[#This Row],[Vertex]],GroupVertices[Vertex],0)),1,1,"")</f>
        <v>2</v>
      </c>
    </row>
    <row r="8" spans="1:31" ht="15">
      <c r="A8" s="11" t="s">
        <v>259</v>
      </c>
      <c r="B8" s="12"/>
      <c r="C8" s="12" t="s">
        <v>56</v>
      </c>
      <c r="D8" s="76">
        <v>610.5993610205867</v>
      </c>
      <c r="E8" s="77"/>
      <c r="F8" s="12"/>
      <c r="G8" s="12"/>
      <c r="H8" s="13" t="s">
        <v>259</v>
      </c>
      <c r="I8" s="62"/>
      <c r="J8" s="62"/>
      <c r="K8" s="13"/>
      <c r="L8" s="78">
        <v>2364.2329393823866</v>
      </c>
      <c r="M8" s="79"/>
      <c r="N8" s="79"/>
      <c r="O8" s="73"/>
      <c r="P8" s="80"/>
      <c r="Q8" s="80"/>
      <c r="R8" s="47">
        <v>3</v>
      </c>
      <c r="S8" s="81"/>
      <c r="T8" s="81"/>
      <c r="U8" s="48">
        <v>62</v>
      </c>
      <c r="V8" s="48">
        <v>0.325581</v>
      </c>
      <c r="W8" s="48">
        <v>0.146986</v>
      </c>
      <c r="X8" s="48">
        <v>0.036598</v>
      </c>
      <c r="Y8" s="48">
        <v>0</v>
      </c>
      <c r="Z8" s="48">
        <v>0</v>
      </c>
      <c r="AA8" s="82">
        <v>8</v>
      </c>
      <c r="AB8" s="82"/>
      <c r="AC8" s="84" t="s">
        <v>280</v>
      </c>
      <c r="AD8" s="1">
        <v>0.07635467980295567</v>
      </c>
      <c r="AE8" s="90" t="str">
        <f>REPLACE(INDEX(GroupVertices[Group],MATCH("~"&amp;Vertices[[#This Row],[Vertex]],GroupVertices[Vertex],0)),1,1,"")</f>
        <v>5</v>
      </c>
    </row>
    <row r="9" spans="1:31" ht="15">
      <c r="A9" s="11" t="s">
        <v>261</v>
      </c>
      <c r="B9" s="12"/>
      <c r="C9" s="12" t="s">
        <v>56</v>
      </c>
      <c r="D9" s="76">
        <v>880.0366072290274</v>
      </c>
      <c r="E9" s="77"/>
      <c r="F9" s="12"/>
      <c r="G9" s="12"/>
      <c r="H9" s="13" t="s">
        <v>261</v>
      </c>
      <c r="I9" s="62"/>
      <c r="J9" s="62"/>
      <c r="K9" s="13"/>
      <c r="L9" s="78">
        <v>3611.2830219824627</v>
      </c>
      <c r="M9" s="79"/>
      <c r="N9" s="79"/>
      <c r="O9" s="73"/>
      <c r="P9" s="80"/>
      <c r="Q9" s="80"/>
      <c r="R9" s="47">
        <v>5</v>
      </c>
      <c r="S9" s="81"/>
      <c r="T9" s="81"/>
      <c r="U9" s="48">
        <v>94.716667</v>
      </c>
      <c r="V9" s="48">
        <v>0.424242</v>
      </c>
      <c r="W9" s="48">
        <v>0.36407</v>
      </c>
      <c r="X9" s="48">
        <v>0.035963</v>
      </c>
      <c r="Y9" s="48">
        <v>0.1</v>
      </c>
      <c r="Z9" s="48">
        <v>0</v>
      </c>
      <c r="AA9" s="82">
        <v>9</v>
      </c>
      <c r="AB9" s="82"/>
      <c r="AC9" s="84" t="s">
        <v>280</v>
      </c>
      <c r="AD9" s="1">
        <v>0.1166461412151067</v>
      </c>
      <c r="AE9" s="90" t="str">
        <f>REPLACE(INDEX(GroupVertices[Group],MATCH("~"&amp;Vertices[[#This Row],[Vertex]],GroupVertices[Vertex],0)),1,1,"")</f>
        <v>2</v>
      </c>
    </row>
    <row r="10" spans="1:31" ht="15">
      <c r="A10" s="11" t="s">
        <v>263</v>
      </c>
      <c r="B10" s="12"/>
      <c r="C10" s="12" t="s">
        <v>56</v>
      </c>
      <c r="D10" s="76">
        <v>482.94952076544007</v>
      </c>
      <c r="E10" s="77"/>
      <c r="F10" s="12"/>
      <c r="G10" s="12"/>
      <c r="H10" s="13" t="s">
        <v>263</v>
      </c>
      <c r="I10" s="62"/>
      <c r="J10" s="62"/>
      <c r="K10" s="13"/>
      <c r="L10" s="78">
        <v>1773.42470453679</v>
      </c>
      <c r="M10" s="79"/>
      <c r="N10" s="79"/>
      <c r="O10" s="73"/>
      <c r="P10" s="80"/>
      <c r="Q10" s="80"/>
      <c r="R10" s="47">
        <v>3</v>
      </c>
      <c r="S10" s="81"/>
      <c r="T10" s="81"/>
      <c r="U10" s="48">
        <v>46.5</v>
      </c>
      <c r="V10" s="48">
        <v>0.318182</v>
      </c>
      <c r="W10" s="48">
        <v>0.075675</v>
      </c>
      <c r="X10" s="48">
        <v>0.035576</v>
      </c>
      <c r="Y10" s="48">
        <v>0</v>
      </c>
      <c r="Z10" s="48">
        <v>0</v>
      </c>
      <c r="AA10" s="82">
        <v>10</v>
      </c>
      <c r="AB10" s="82"/>
      <c r="AC10" s="84" t="s">
        <v>280</v>
      </c>
      <c r="AD10" s="1">
        <v>0.05726600985221674</v>
      </c>
      <c r="AE10" s="90" t="str">
        <f>REPLACE(INDEX(GroupVertices[Group],MATCH("~"&amp;Vertices[[#This Row],[Vertex]],GroupVertices[Vertex],0)),1,1,"")</f>
        <v>3</v>
      </c>
    </row>
    <row r="11" spans="1:31" ht="15">
      <c r="A11" s="11" t="s">
        <v>266</v>
      </c>
      <c r="B11" s="12"/>
      <c r="C11" s="12" t="s">
        <v>56</v>
      </c>
      <c r="D11" s="76">
        <v>800.0152530120947</v>
      </c>
      <c r="E11" s="77"/>
      <c r="F11" s="12"/>
      <c r="G11" s="12"/>
      <c r="H11" s="13" t="s">
        <v>266</v>
      </c>
      <c r="I11" s="62"/>
      <c r="J11" s="62"/>
      <c r="K11" s="13"/>
      <c r="L11" s="78">
        <v>3240.9161265726266</v>
      </c>
      <c r="M11" s="79"/>
      <c r="N11" s="79"/>
      <c r="O11" s="73"/>
      <c r="P11" s="80"/>
      <c r="Q11" s="80"/>
      <c r="R11" s="47">
        <v>3</v>
      </c>
      <c r="S11" s="81"/>
      <c r="T11" s="81"/>
      <c r="U11" s="48">
        <v>85</v>
      </c>
      <c r="V11" s="48">
        <v>0.341463</v>
      </c>
      <c r="W11" s="48">
        <v>0.115017</v>
      </c>
      <c r="X11" s="48">
        <v>0.037414</v>
      </c>
      <c r="Y11" s="48">
        <v>0</v>
      </c>
      <c r="Z11" s="48">
        <v>0</v>
      </c>
      <c r="AA11" s="82">
        <v>11</v>
      </c>
      <c r="AB11" s="82"/>
      <c r="AC11" s="84" t="s">
        <v>280</v>
      </c>
      <c r="AD11" s="1">
        <v>0.104679802955665</v>
      </c>
      <c r="AE11" s="90" t="str">
        <f>REPLACE(INDEX(GroupVertices[Group],MATCH("~"&amp;Vertices[[#This Row],[Vertex]],GroupVertices[Vertex],0)),1,1,"")</f>
        <v>3</v>
      </c>
    </row>
    <row r="12" spans="1:31" ht="15">
      <c r="A12" s="11" t="s">
        <v>267</v>
      </c>
      <c r="B12" s="12"/>
      <c r="C12" s="12" t="s">
        <v>56</v>
      </c>
      <c r="D12" s="76">
        <v>445.0663423671385</v>
      </c>
      <c r="E12" s="77"/>
      <c r="F12" s="12"/>
      <c r="G12" s="12"/>
      <c r="H12" s="13" t="s">
        <v>267</v>
      </c>
      <c r="I12" s="62"/>
      <c r="J12" s="62"/>
      <c r="K12" s="13"/>
      <c r="L12" s="78">
        <v>1598.088067098742</v>
      </c>
      <c r="M12" s="79"/>
      <c r="N12" s="79"/>
      <c r="O12" s="73"/>
      <c r="P12" s="80"/>
      <c r="Q12" s="80"/>
      <c r="R12" s="47">
        <v>3</v>
      </c>
      <c r="S12" s="81"/>
      <c r="T12" s="81"/>
      <c r="U12" s="48">
        <v>41.9</v>
      </c>
      <c r="V12" s="48">
        <v>0.358974</v>
      </c>
      <c r="W12" s="48">
        <v>0.185113</v>
      </c>
      <c r="X12" s="48">
        <v>0.033555</v>
      </c>
      <c r="Y12" s="48">
        <v>0</v>
      </c>
      <c r="Z12" s="48">
        <v>0</v>
      </c>
      <c r="AA12" s="82">
        <v>12</v>
      </c>
      <c r="AB12" s="82"/>
      <c r="AC12" s="84" t="s">
        <v>280</v>
      </c>
      <c r="AD12" s="1">
        <v>0.05160098522167487</v>
      </c>
      <c r="AE12" s="90" t="str">
        <f>REPLACE(INDEX(GroupVertices[Group],MATCH("~"&amp;Vertices[[#This Row],[Vertex]],GroupVertices[Vertex],0)),1,1,"")</f>
        <v>5</v>
      </c>
    </row>
    <row r="13" spans="1:31" ht="15">
      <c r="A13" s="11" t="s">
        <v>269</v>
      </c>
      <c r="B13" s="12"/>
      <c r="C13" s="12" t="s">
        <v>56</v>
      </c>
      <c r="D13" s="76">
        <v>452.0664948972594</v>
      </c>
      <c r="E13" s="77"/>
      <c r="F13" s="12"/>
      <c r="G13" s="12"/>
      <c r="H13" s="13" t="s">
        <v>269</v>
      </c>
      <c r="I13" s="62"/>
      <c r="J13" s="62"/>
      <c r="K13" s="13"/>
      <c r="L13" s="78">
        <v>1630.4872283644681</v>
      </c>
      <c r="M13" s="79"/>
      <c r="N13" s="79"/>
      <c r="O13" s="73"/>
      <c r="P13" s="80"/>
      <c r="Q13" s="80"/>
      <c r="R13" s="47">
        <v>3</v>
      </c>
      <c r="S13" s="81"/>
      <c r="T13" s="81"/>
      <c r="U13" s="48">
        <v>42.75</v>
      </c>
      <c r="V13" s="48">
        <v>0.358974</v>
      </c>
      <c r="W13" s="48">
        <v>0.190727</v>
      </c>
      <c r="X13" s="48">
        <v>0.032918</v>
      </c>
      <c r="Y13" s="48">
        <v>0</v>
      </c>
      <c r="Z13" s="48">
        <v>0</v>
      </c>
      <c r="AA13" s="82">
        <v>13</v>
      </c>
      <c r="AB13" s="82"/>
      <c r="AC13" s="84" t="s">
        <v>280</v>
      </c>
      <c r="AD13" s="1">
        <v>0.05264778325123151</v>
      </c>
      <c r="AE13" s="90" t="str">
        <f>REPLACE(INDEX(GroupVertices[Group],MATCH("~"&amp;Vertices[[#This Row],[Vertex]],GroupVertices[Vertex],0)),1,1,"")</f>
        <v>1</v>
      </c>
    </row>
    <row r="14" spans="1:31" ht="15">
      <c r="A14" s="11" t="s">
        <v>271</v>
      </c>
      <c r="B14" s="12"/>
      <c r="C14" s="12" t="s">
        <v>56</v>
      </c>
      <c r="D14" s="76">
        <v>100</v>
      </c>
      <c r="E14" s="77"/>
      <c r="F14" s="12"/>
      <c r="G14" s="12"/>
      <c r="H14" s="13" t="s">
        <v>271</v>
      </c>
      <c r="I14" s="62"/>
      <c r="J14" s="62"/>
      <c r="K14" s="13"/>
      <c r="L14" s="78">
        <v>1</v>
      </c>
      <c r="M14" s="79"/>
      <c r="N14" s="79"/>
      <c r="O14" s="73"/>
      <c r="P14" s="80"/>
      <c r="Q14" s="80"/>
      <c r="R14" s="47">
        <v>1</v>
      </c>
      <c r="S14" s="81"/>
      <c r="T14" s="81"/>
      <c r="U14" s="48">
        <v>0</v>
      </c>
      <c r="V14" s="48">
        <v>0.247788</v>
      </c>
      <c r="W14" s="48">
        <v>0.037902</v>
      </c>
      <c r="X14" s="48">
        <v>0.03114</v>
      </c>
      <c r="Y14" s="48">
        <v>0</v>
      </c>
      <c r="Z14" s="48">
        <v>0</v>
      </c>
      <c r="AA14" s="82">
        <v>14</v>
      </c>
      <c r="AB14" s="82"/>
      <c r="AC14" s="84" t="s">
        <v>280</v>
      </c>
      <c r="AD14" s="1">
        <v>0</v>
      </c>
      <c r="AE14" s="90" t="str">
        <f>REPLACE(INDEX(GroupVertices[Group],MATCH("~"&amp;Vertices[[#This Row],[Vertex]],GroupVertices[Vertex],0)),1,1,"")</f>
        <v>5</v>
      </c>
    </row>
    <row r="15" spans="1:31" ht="15">
      <c r="A15" s="11" t="s">
        <v>273</v>
      </c>
      <c r="B15" s="12"/>
      <c r="C15" s="12" t="s">
        <v>56</v>
      </c>
      <c r="D15" s="76">
        <v>175.49184375626612</v>
      </c>
      <c r="E15" s="77"/>
      <c r="F15" s="12"/>
      <c r="G15" s="12"/>
      <c r="H15" s="13" t="s">
        <v>273</v>
      </c>
      <c r="I15" s="62"/>
      <c r="J15" s="62"/>
      <c r="K15" s="13"/>
      <c r="L15" s="78">
        <v>350.4027322378955</v>
      </c>
      <c r="M15" s="79"/>
      <c r="N15" s="79"/>
      <c r="O15" s="73"/>
      <c r="P15" s="80"/>
      <c r="Q15" s="80"/>
      <c r="R15" s="47">
        <v>2</v>
      </c>
      <c r="S15" s="81"/>
      <c r="T15" s="81"/>
      <c r="U15" s="48">
        <v>9.166667</v>
      </c>
      <c r="V15" s="48">
        <v>0.294737</v>
      </c>
      <c r="W15" s="48">
        <v>0.058457</v>
      </c>
      <c r="X15" s="48">
        <v>0.032817</v>
      </c>
      <c r="Y15" s="48">
        <v>0</v>
      </c>
      <c r="Z15" s="48">
        <v>0</v>
      </c>
      <c r="AA15" s="82">
        <v>15</v>
      </c>
      <c r="AB15" s="82"/>
      <c r="AC15" s="84" t="s">
        <v>280</v>
      </c>
      <c r="AD15" s="1">
        <v>0.01128899835796388</v>
      </c>
      <c r="AE15" s="90" t="str">
        <f>REPLACE(INDEX(GroupVertices[Group],MATCH("~"&amp;Vertices[[#This Row],[Vertex]],GroupVertices[Vertex],0)),1,1,"")</f>
        <v>3</v>
      </c>
    </row>
    <row r="16" spans="1:31" ht="15">
      <c r="A16" s="11" t="s">
        <v>275</v>
      </c>
      <c r="B16" s="12"/>
      <c r="C16" s="12" t="s">
        <v>56</v>
      </c>
      <c r="D16" s="76">
        <v>100</v>
      </c>
      <c r="E16" s="77"/>
      <c r="F16" s="12"/>
      <c r="G16" s="12"/>
      <c r="H16" s="13" t="s">
        <v>275</v>
      </c>
      <c r="I16" s="62"/>
      <c r="J16" s="62"/>
      <c r="K16" s="13"/>
      <c r="L16" s="78">
        <v>1</v>
      </c>
      <c r="M16" s="79"/>
      <c r="N16" s="79"/>
      <c r="O16" s="73"/>
      <c r="P16" s="80"/>
      <c r="Q16" s="80"/>
      <c r="R16" s="47">
        <v>1</v>
      </c>
      <c r="S16" s="81"/>
      <c r="T16" s="81"/>
      <c r="U16" s="48">
        <v>0</v>
      </c>
      <c r="V16" s="48">
        <v>0.252252</v>
      </c>
      <c r="W16" s="48">
        <v>0.046165</v>
      </c>
      <c r="X16" s="48">
        <v>0.030854</v>
      </c>
      <c r="Y16" s="48">
        <v>0</v>
      </c>
      <c r="Z16" s="48">
        <v>0</v>
      </c>
      <c r="AA16" s="82">
        <v>16</v>
      </c>
      <c r="AB16" s="82"/>
      <c r="AC16" s="84" t="s">
        <v>280</v>
      </c>
      <c r="AD16" s="1">
        <v>0</v>
      </c>
      <c r="AE16" s="90" t="str">
        <f>REPLACE(INDEX(GroupVertices[Group],MATCH("~"&amp;Vertices[[#This Row],[Vertex]],GroupVertices[Vertex],0)),1,1,"")</f>
        <v>2</v>
      </c>
    </row>
    <row r="17" spans="1:31" ht="15">
      <c r="A17" s="11" t="s">
        <v>278</v>
      </c>
      <c r="B17" s="12"/>
      <c r="C17" s="12" t="s">
        <v>56</v>
      </c>
      <c r="D17" s="76">
        <v>1000</v>
      </c>
      <c r="E17" s="77"/>
      <c r="F17" s="12"/>
      <c r="G17" s="12"/>
      <c r="H17" s="13" t="s">
        <v>278</v>
      </c>
      <c r="I17" s="62"/>
      <c r="J17" s="62"/>
      <c r="K17" s="13"/>
      <c r="L17" s="78">
        <v>9999</v>
      </c>
      <c r="M17" s="79"/>
      <c r="N17" s="79"/>
      <c r="O17" s="73"/>
      <c r="P17" s="80"/>
      <c r="Q17" s="80"/>
      <c r="R17" s="47">
        <v>6</v>
      </c>
      <c r="S17" s="81"/>
      <c r="T17" s="81"/>
      <c r="U17" s="48">
        <v>262.3</v>
      </c>
      <c r="V17" s="48">
        <v>0.451613</v>
      </c>
      <c r="W17" s="48">
        <v>0.367196</v>
      </c>
      <c r="X17" s="48">
        <v>0.038182</v>
      </c>
      <c r="Y17" s="48">
        <v>0.1</v>
      </c>
      <c r="Z17" s="48">
        <v>0</v>
      </c>
      <c r="AA17" s="82">
        <v>17</v>
      </c>
      <c r="AB17" s="82"/>
      <c r="AC17" s="84" t="s">
        <v>280</v>
      </c>
      <c r="AD17" s="1">
        <v>0.3230295566502463</v>
      </c>
      <c r="AE17" s="90" t="str">
        <f>REPLACE(INDEX(GroupVertices[Group],MATCH("~"&amp;Vertices[[#This Row],[Vertex]],GroupVertices[Vertex],0)),1,1,"")</f>
        <v>2</v>
      </c>
    </row>
    <row r="18" spans="1:31" ht="15">
      <c r="A18" s="11" t="s">
        <v>250</v>
      </c>
      <c r="B18" s="12"/>
      <c r="C18" s="12" t="s">
        <v>59</v>
      </c>
      <c r="D18" s="76">
        <v>244.12078738484303</v>
      </c>
      <c r="E18" s="77"/>
      <c r="F18" s="12"/>
      <c r="G18" s="12"/>
      <c r="H18" s="13" t="s">
        <v>250</v>
      </c>
      <c r="I18" s="62"/>
      <c r="J18" s="62"/>
      <c r="K18" s="13"/>
      <c r="L18" s="78">
        <v>668.0415554708349</v>
      </c>
      <c r="M18" s="79"/>
      <c r="N18" s="79"/>
      <c r="O18" s="73"/>
      <c r="P18" s="80"/>
      <c r="Q18" s="80"/>
      <c r="R18" s="47">
        <v>2</v>
      </c>
      <c r="S18" s="81"/>
      <c r="T18" s="81"/>
      <c r="U18" s="48">
        <v>17.5</v>
      </c>
      <c r="V18" s="48">
        <v>0.291667</v>
      </c>
      <c r="W18" s="48">
        <v>0.049172</v>
      </c>
      <c r="X18" s="48">
        <v>0.03296</v>
      </c>
      <c r="Y18" s="48">
        <v>0</v>
      </c>
      <c r="Z18" s="48">
        <v>0</v>
      </c>
      <c r="AA18" s="82">
        <v>18</v>
      </c>
      <c r="AB18" s="82"/>
      <c r="AC18" s="84" t="s">
        <v>280</v>
      </c>
      <c r="AD18" s="1">
        <v>0.02155172413793104</v>
      </c>
      <c r="AE18" s="90" t="str">
        <f>REPLACE(INDEX(GroupVertices[Group],MATCH("~"&amp;Vertices[[#This Row],[Vertex]],GroupVertices[Vertex],0)),1,1,"")</f>
        <v>3</v>
      </c>
    </row>
    <row r="19" spans="1:31" ht="15">
      <c r="A19" s="11" t="s">
        <v>252</v>
      </c>
      <c r="B19" s="12"/>
      <c r="C19" s="12" t="s">
        <v>59</v>
      </c>
      <c r="D19" s="76">
        <v>1000</v>
      </c>
      <c r="E19" s="77"/>
      <c r="F19" s="12"/>
      <c r="G19" s="12"/>
      <c r="H19" s="13" t="s">
        <v>252</v>
      </c>
      <c r="I19" s="62"/>
      <c r="J19" s="62"/>
      <c r="K19" s="13"/>
      <c r="L19" s="78">
        <v>4166.515681791841</v>
      </c>
      <c r="M19" s="79"/>
      <c r="N19" s="79"/>
      <c r="O19" s="73"/>
      <c r="P19" s="80"/>
      <c r="Q19" s="80"/>
      <c r="R19" s="47">
        <v>4</v>
      </c>
      <c r="S19" s="81"/>
      <c r="T19" s="81"/>
      <c r="U19" s="48">
        <v>109.283333</v>
      </c>
      <c r="V19" s="48">
        <v>0.394366</v>
      </c>
      <c r="W19" s="48">
        <v>0.185831</v>
      </c>
      <c r="X19" s="48">
        <v>0.035542</v>
      </c>
      <c r="Y19" s="48">
        <v>0</v>
      </c>
      <c r="Z19" s="48">
        <v>0</v>
      </c>
      <c r="AA19" s="82">
        <v>19</v>
      </c>
      <c r="AB19" s="82"/>
      <c r="AC19" s="84" t="s">
        <v>280</v>
      </c>
      <c r="AD19" s="1">
        <v>0.1345853858784893</v>
      </c>
      <c r="AE19" s="90" t="str">
        <f>REPLACE(INDEX(GroupVertices[Group],MATCH("~"&amp;Vertices[[#This Row],[Vertex]],GroupVertices[Vertex],0)),1,1,"")</f>
        <v>1</v>
      </c>
    </row>
    <row r="20" spans="1:31" ht="15">
      <c r="A20" s="11" t="s">
        <v>254</v>
      </c>
      <c r="B20" s="12"/>
      <c r="C20" s="12" t="s">
        <v>59</v>
      </c>
      <c r="D20" s="76">
        <v>100</v>
      </c>
      <c r="E20" s="77"/>
      <c r="F20" s="12"/>
      <c r="G20" s="12"/>
      <c r="H20" s="13" t="s">
        <v>254</v>
      </c>
      <c r="I20" s="62"/>
      <c r="J20" s="62"/>
      <c r="K20" s="13"/>
      <c r="L20" s="78">
        <v>1</v>
      </c>
      <c r="M20" s="79"/>
      <c r="N20" s="79"/>
      <c r="O20" s="73"/>
      <c r="P20" s="80"/>
      <c r="Q20" s="80"/>
      <c r="R20" s="47">
        <v>1</v>
      </c>
      <c r="S20" s="81"/>
      <c r="T20" s="81"/>
      <c r="U20" s="48">
        <v>0</v>
      </c>
      <c r="V20" s="48">
        <v>0.239316</v>
      </c>
      <c r="W20" s="48">
        <v>0.018205</v>
      </c>
      <c r="X20" s="48">
        <v>0.031181</v>
      </c>
      <c r="Y20" s="48">
        <v>0</v>
      </c>
      <c r="Z20" s="48">
        <v>0</v>
      </c>
      <c r="AA20" s="82">
        <v>20</v>
      </c>
      <c r="AB20" s="82"/>
      <c r="AC20" s="84" t="s">
        <v>280</v>
      </c>
      <c r="AD20" s="1">
        <v>0</v>
      </c>
      <c r="AE20" s="90" t="str">
        <f>REPLACE(INDEX(GroupVertices[Group],MATCH("~"&amp;Vertices[[#This Row],[Vertex]],GroupVertices[Vertex],0)),1,1,"")</f>
        <v>1</v>
      </c>
    </row>
    <row r="21" spans="1:31" ht="15">
      <c r="A21" s="11" t="s">
        <v>256</v>
      </c>
      <c r="B21" s="12"/>
      <c r="C21" s="12" t="s">
        <v>59</v>
      </c>
      <c r="D21" s="76">
        <v>635.8548160312789</v>
      </c>
      <c r="E21" s="77"/>
      <c r="F21" s="12"/>
      <c r="G21" s="12"/>
      <c r="H21" s="13" t="s">
        <v>256</v>
      </c>
      <c r="I21" s="62"/>
      <c r="J21" s="62"/>
      <c r="K21" s="13"/>
      <c r="L21" s="78">
        <v>2481.124043713305</v>
      </c>
      <c r="M21" s="79"/>
      <c r="N21" s="79"/>
      <c r="O21" s="73"/>
      <c r="P21" s="80"/>
      <c r="Q21" s="80"/>
      <c r="R21" s="47">
        <v>3</v>
      </c>
      <c r="S21" s="81"/>
      <c r="T21" s="81"/>
      <c r="U21" s="48">
        <v>65.066667</v>
      </c>
      <c r="V21" s="48">
        <v>0.311111</v>
      </c>
      <c r="W21" s="48">
        <v>0.070596</v>
      </c>
      <c r="X21" s="48">
        <v>0.037408</v>
      </c>
      <c r="Y21" s="48">
        <v>0</v>
      </c>
      <c r="Z21" s="48">
        <v>0</v>
      </c>
      <c r="AA21" s="82">
        <v>21</v>
      </c>
      <c r="AB21" s="82"/>
      <c r="AC21" s="84" t="s">
        <v>280</v>
      </c>
      <c r="AD21" s="1">
        <v>0.0801313628899836</v>
      </c>
      <c r="AE21" s="90" t="str">
        <f>REPLACE(INDEX(GroupVertices[Group],MATCH("~"&amp;Vertices[[#This Row],[Vertex]],GroupVertices[Vertex],0)),1,1,"")</f>
        <v>1</v>
      </c>
    </row>
    <row r="22" spans="1:31" ht="15">
      <c r="A22" s="11" t="s">
        <v>265</v>
      </c>
      <c r="B22" s="12"/>
      <c r="C22" s="12" t="s">
        <v>59</v>
      </c>
      <c r="D22" s="76"/>
      <c r="E22" s="77"/>
      <c r="F22" s="12"/>
      <c r="G22" s="12"/>
      <c r="H22" s="13" t="s">
        <v>265</v>
      </c>
      <c r="I22" s="62"/>
      <c r="J22" s="62"/>
      <c r="K22" s="13"/>
      <c r="L22" s="78"/>
      <c r="M22" s="79"/>
      <c r="N22" s="79"/>
      <c r="O22" s="73"/>
      <c r="P22" s="80"/>
      <c r="Q22" s="80"/>
      <c r="R22" s="47"/>
      <c r="S22" s="81"/>
      <c r="T22" s="81"/>
      <c r="U22" s="48"/>
      <c r="V22" s="48"/>
      <c r="W22" s="48"/>
      <c r="X22" s="48"/>
      <c r="Y22" s="48"/>
      <c r="Z22" s="48"/>
      <c r="AA22" s="82">
        <v>22</v>
      </c>
      <c r="AB22" s="82"/>
      <c r="AC22" s="84" t="s">
        <v>280</v>
      </c>
      <c r="AD22" s="1">
        <v>0</v>
      </c>
      <c r="AE22" s="90" t="e">
        <f>REPLACE(INDEX(GroupVertices[Group],MATCH("~"&amp;Vertices[[#This Row],[Vertex]],GroupVertices[Vertex],0)),1,1,"")</f>
        <v>#N/A</v>
      </c>
    </row>
    <row r="23" spans="1:31" ht="15">
      <c r="A23" s="11" t="s">
        <v>258</v>
      </c>
      <c r="B23" s="12"/>
      <c r="C23" s="12" t="s">
        <v>59</v>
      </c>
      <c r="D23" s="76">
        <v>485.4201628348945</v>
      </c>
      <c r="E23" s="77"/>
      <c r="F23" s="12"/>
      <c r="G23" s="12"/>
      <c r="H23" s="13" t="s">
        <v>258</v>
      </c>
      <c r="I23" s="62"/>
      <c r="J23" s="62"/>
      <c r="K23" s="13"/>
      <c r="L23" s="78">
        <v>1784.8597026305754</v>
      </c>
      <c r="M23" s="79"/>
      <c r="N23" s="79"/>
      <c r="O23" s="73"/>
      <c r="P23" s="80"/>
      <c r="Q23" s="80"/>
      <c r="R23" s="47">
        <v>3</v>
      </c>
      <c r="S23" s="81"/>
      <c r="T23" s="81"/>
      <c r="U23" s="48">
        <v>46.8</v>
      </c>
      <c r="V23" s="48">
        <v>0.318182</v>
      </c>
      <c r="W23" s="48">
        <v>0.089351</v>
      </c>
      <c r="X23" s="48">
        <v>0.034942</v>
      </c>
      <c r="Y23" s="48">
        <v>0</v>
      </c>
      <c r="Z23" s="48">
        <v>0</v>
      </c>
      <c r="AA23" s="82">
        <v>23</v>
      </c>
      <c r="AB23" s="82"/>
      <c r="AC23" s="84" t="s">
        <v>281</v>
      </c>
      <c r="AD23" s="1">
        <v>0.05763546798029556</v>
      </c>
      <c r="AE23" s="90" t="str">
        <f>REPLACE(INDEX(GroupVertices[Group],MATCH("~"&amp;Vertices[[#This Row],[Vertex]],GroupVertices[Vertex],0)),1,1,"")</f>
        <v>1</v>
      </c>
    </row>
    <row r="24" spans="1:31" ht="15">
      <c r="A24" s="11" t="s">
        <v>260</v>
      </c>
      <c r="B24" s="12"/>
      <c r="C24" s="12" t="s">
        <v>59</v>
      </c>
      <c r="D24" s="76">
        <v>100</v>
      </c>
      <c r="E24" s="77"/>
      <c r="F24" s="12"/>
      <c r="G24" s="12"/>
      <c r="H24" s="13" t="s">
        <v>260</v>
      </c>
      <c r="I24" s="62"/>
      <c r="J24" s="62"/>
      <c r="K24" s="13"/>
      <c r="L24" s="78">
        <v>1</v>
      </c>
      <c r="M24" s="79"/>
      <c r="N24" s="79"/>
      <c r="O24" s="73"/>
      <c r="P24" s="80"/>
      <c r="Q24" s="80"/>
      <c r="R24" s="47">
        <v>1</v>
      </c>
      <c r="S24" s="81"/>
      <c r="T24" s="81"/>
      <c r="U24" s="48">
        <v>0</v>
      </c>
      <c r="V24" s="48">
        <v>0.256881</v>
      </c>
      <c r="W24" s="48">
        <v>0.029659</v>
      </c>
      <c r="X24" s="48">
        <v>0.031181</v>
      </c>
      <c r="Y24" s="48">
        <v>0</v>
      </c>
      <c r="Z24" s="48">
        <v>0</v>
      </c>
      <c r="AA24" s="82">
        <v>24</v>
      </c>
      <c r="AB24" s="82"/>
      <c r="AC24" s="84" t="s">
        <v>281</v>
      </c>
      <c r="AD24" s="1">
        <v>0</v>
      </c>
      <c r="AE24" s="90" t="str">
        <f>REPLACE(INDEX(GroupVertices[Group],MATCH("~"&amp;Vertices[[#This Row],[Vertex]],GroupVertices[Vertex],0)),1,1,"")</f>
        <v>3</v>
      </c>
    </row>
    <row r="25" spans="1:31" ht="15">
      <c r="A25" s="11" t="s">
        <v>262</v>
      </c>
      <c r="B25" s="12"/>
      <c r="C25" s="12" t="s">
        <v>59</v>
      </c>
      <c r="D25" s="76">
        <v>233.1401587102033</v>
      </c>
      <c r="E25" s="77"/>
      <c r="F25" s="12"/>
      <c r="G25" s="12"/>
      <c r="H25" s="13" t="s">
        <v>262</v>
      </c>
      <c r="I25" s="62"/>
      <c r="J25" s="62"/>
      <c r="K25" s="13"/>
      <c r="L25" s="78">
        <v>617.2193544262295</v>
      </c>
      <c r="M25" s="79"/>
      <c r="N25" s="79"/>
      <c r="O25" s="73"/>
      <c r="P25" s="80"/>
      <c r="Q25" s="80"/>
      <c r="R25" s="47">
        <v>3</v>
      </c>
      <c r="S25" s="81"/>
      <c r="T25" s="81"/>
      <c r="U25" s="48">
        <v>16.166667</v>
      </c>
      <c r="V25" s="48">
        <v>0.314607</v>
      </c>
      <c r="W25" s="48">
        <v>0.162286</v>
      </c>
      <c r="X25" s="48">
        <v>0.034374</v>
      </c>
      <c r="Y25" s="48">
        <v>0.16666666666666666</v>
      </c>
      <c r="Z25" s="48">
        <v>0</v>
      </c>
      <c r="AA25" s="82">
        <v>25</v>
      </c>
      <c r="AB25" s="82"/>
      <c r="AC25" s="84" t="s">
        <v>281</v>
      </c>
      <c r="AD25" s="1">
        <v>0.01990968801313629</v>
      </c>
      <c r="AE25" s="90" t="str">
        <f>REPLACE(INDEX(GroupVertices[Group],MATCH("~"&amp;Vertices[[#This Row],[Vertex]],GroupVertices[Vertex],0)),1,1,"")</f>
        <v>4</v>
      </c>
    </row>
    <row r="26" spans="1:31" ht="15">
      <c r="A26" s="11" t="s">
        <v>264</v>
      </c>
      <c r="B26" s="12"/>
      <c r="C26" s="12" t="s">
        <v>59</v>
      </c>
      <c r="D26" s="76">
        <v>216.12017726435926</v>
      </c>
      <c r="E26" s="77"/>
      <c r="F26" s="12"/>
      <c r="G26" s="12"/>
      <c r="H26" s="13" t="s">
        <v>264</v>
      </c>
      <c r="I26" s="62"/>
      <c r="J26" s="62"/>
      <c r="K26" s="13"/>
      <c r="L26" s="78">
        <v>538.4449104079298</v>
      </c>
      <c r="M26" s="79"/>
      <c r="N26" s="79"/>
      <c r="O26" s="73"/>
      <c r="P26" s="80"/>
      <c r="Q26" s="80"/>
      <c r="R26" s="47">
        <v>2</v>
      </c>
      <c r="S26" s="81"/>
      <c r="T26" s="81"/>
      <c r="U26" s="48">
        <v>14.1</v>
      </c>
      <c r="V26" s="48">
        <v>0.321839</v>
      </c>
      <c r="W26" s="48">
        <v>0.090061</v>
      </c>
      <c r="X26" s="48">
        <v>0.032373</v>
      </c>
      <c r="Y26" s="48">
        <v>0</v>
      </c>
      <c r="Z26" s="48">
        <v>0</v>
      </c>
      <c r="AA26" s="82">
        <v>26</v>
      </c>
      <c r="AB26" s="82"/>
      <c r="AC26" s="84" t="s">
        <v>281</v>
      </c>
      <c r="AD26" s="1">
        <v>0.01736453201970443</v>
      </c>
      <c r="AE26" s="90" t="str">
        <f>REPLACE(INDEX(GroupVertices[Group],MATCH("~"&amp;Vertices[[#This Row],[Vertex]],GroupVertices[Vertex],0)),1,1,"")</f>
        <v>1</v>
      </c>
    </row>
    <row r="27" spans="1:31" ht="15">
      <c r="A27" s="11" t="s">
        <v>268</v>
      </c>
      <c r="B27" s="12"/>
      <c r="C27" s="12" t="s">
        <v>59</v>
      </c>
      <c r="D27" s="76">
        <v>100</v>
      </c>
      <c r="E27" s="77"/>
      <c r="F27" s="12"/>
      <c r="G27" s="12"/>
      <c r="H27" s="13" t="s">
        <v>268</v>
      </c>
      <c r="I27" s="62"/>
      <c r="J27" s="62"/>
      <c r="K27" s="13"/>
      <c r="L27" s="78">
        <v>1</v>
      </c>
      <c r="M27" s="79"/>
      <c r="N27" s="79"/>
      <c r="O27" s="73"/>
      <c r="P27" s="80"/>
      <c r="Q27" s="80"/>
      <c r="R27" s="47">
        <v>1</v>
      </c>
      <c r="S27" s="81"/>
      <c r="T27" s="81"/>
      <c r="U27" s="48">
        <v>0</v>
      </c>
      <c r="V27" s="48">
        <v>0.252252</v>
      </c>
      <c r="W27" s="48">
        <v>0.046165</v>
      </c>
      <c r="X27" s="48">
        <v>0.030854</v>
      </c>
      <c r="Y27" s="48">
        <v>0</v>
      </c>
      <c r="Z27" s="48">
        <v>0</v>
      </c>
      <c r="AA27" s="82">
        <v>27</v>
      </c>
      <c r="AB27" s="82"/>
      <c r="AC27" s="84" t="s">
        <v>281</v>
      </c>
      <c r="AD27" s="1">
        <v>0</v>
      </c>
      <c r="AE27" s="90" t="str">
        <f>REPLACE(INDEX(GroupVertices[Group],MATCH("~"&amp;Vertices[[#This Row],[Vertex]],GroupVertices[Vertex],0)),1,1,"")</f>
        <v>2</v>
      </c>
    </row>
    <row r="28" spans="1:31" ht="15">
      <c r="A28" s="11" t="s">
        <v>270</v>
      </c>
      <c r="B28" s="12"/>
      <c r="C28" s="12" t="s">
        <v>59</v>
      </c>
      <c r="D28" s="76">
        <v>231.76757703757076</v>
      </c>
      <c r="E28" s="77"/>
      <c r="F28" s="12"/>
      <c r="G28" s="12"/>
      <c r="H28" s="13" t="s">
        <v>270</v>
      </c>
      <c r="I28" s="62"/>
      <c r="J28" s="62"/>
      <c r="K28" s="13"/>
      <c r="L28" s="78">
        <v>610.8665650019062</v>
      </c>
      <c r="M28" s="79"/>
      <c r="N28" s="79"/>
      <c r="O28" s="73"/>
      <c r="P28" s="80"/>
      <c r="Q28" s="80"/>
      <c r="R28" s="47">
        <v>3</v>
      </c>
      <c r="S28" s="81"/>
      <c r="T28" s="81"/>
      <c r="U28" s="48">
        <v>16</v>
      </c>
      <c r="V28" s="48">
        <v>0.35</v>
      </c>
      <c r="W28" s="48">
        <v>0.234737</v>
      </c>
      <c r="X28" s="48">
        <v>0.032887</v>
      </c>
      <c r="Y28" s="48">
        <v>0.3333333333333333</v>
      </c>
      <c r="Z28" s="48">
        <v>0</v>
      </c>
      <c r="AA28" s="82">
        <v>28</v>
      </c>
      <c r="AB28" s="82"/>
      <c r="AC28" s="84" t="s">
        <v>281</v>
      </c>
      <c r="AD28" s="1">
        <v>0.01970443349753694</v>
      </c>
      <c r="AE28" s="90" t="str">
        <f>REPLACE(INDEX(GroupVertices[Group],MATCH("~"&amp;Vertices[[#This Row],[Vertex]],GroupVertices[Vertex],0)),1,1,"")</f>
        <v>2</v>
      </c>
    </row>
    <row r="29" spans="1:31" ht="15">
      <c r="A29" s="11" t="s">
        <v>272</v>
      </c>
      <c r="B29" s="12"/>
      <c r="C29" s="12" t="s">
        <v>59</v>
      </c>
      <c r="D29" s="76">
        <v>849.9771287173315</v>
      </c>
      <c r="E29" s="77"/>
      <c r="F29" s="12"/>
      <c r="G29" s="12"/>
      <c r="H29" s="13" t="s">
        <v>272</v>
      </c>
      <c r="I29" s="62"/>
      <c r="J29" s="62"/>
      <c r="K29" s="13"/>
      <c r="L29" s="78">
        <v>3472.1572118414024</v>
      </c>
      <c r="M29" s="79"/>
      <c r="N29" s="79"/>
      <c r="O29" s="73"/>
      <c r="P29" s="80"/>
      <c r="Q29" s="80"/>
      <c r="R29" s="47">
        <v>3</v>
      </c>
      <c r="S29" s="81"/>
      <c r="T29" s="81"/>
      <c r="U29" s="48">
        <v>91.066667</v>
      </c>
      <c r="V29" s="48">
        <v>0.378378</v>
      </c>
      <c r="W29" s="48">
        <v>0.166221</v>
      </c>
      <c r="X29" s="48">
        <v>0.033471</v>
      </c>
      <c r="Y29" s="48">
        <v>0</v>
      </c>
      <c r="Z29" s="48">
        <v>0</v>
      </c>
      <c r="AA29" s="82">
        <v>29</v>
      </c>
      <c r="AB29" s="82"/>
      <c r="AC29" s="84" t="s">
        <v>281</v>
      </c>
      <c r="AD29" s="1">
        <v>0.1121510673234811</v>
      </c>
      <c r="AE29" s="90" t="str">
        <f>REPLACE(INDEX(GroupVertices[Group],MATCH("~"&amp;Vertices[[#This Row],[Vertex]],GroupVertices[Vertex],0)),1,1,"")</f>
        <v>1</v>
      </c>
    </row>
    <row r="30" spans="1:31" ht="15">
      <c r="A30" s="11" t="s">
        <v>274</v>
      </c>
      <c r="B30" s="12"/>
      <c r="C30" s="12" t="s">
        <v>59</v>
      </c>
      <c r="D30" s="76">
        <v>536.8918726151956</v>
      </c>
      <c r="E30" s="77"/>
      <c r="F30" s="12"/>
      <c r="G30" s="12"/>
      <c r="H30" s="13" t="s">
        <v>274</v>
      </c>
      <c r="I30" s="62"/>
      <c r="J30" s="62"/>
      <c r="K30" s="13"/>
      <c r="L30" s="78">
        <v>2023.0888295844452</v>
      </c>
      <c r="M30" s="79"/>
      <c r="N30" s="79"/>
      <c r="O30" s="73"/>
      <c r="P30" s="80"/>
      <c r="Q30" s="80"/>
      <c r="R30" s="47">
        <v>4</v>
      </c>
      <c r="S30" s="81"/>
      <c r="T30" s="81"/>
      <c r="U30" s="48">
        <v>53.05</v>
      </c>
      <c r="V30" s="48">
        <v>0.373333</v>
      </c>
      <c r="W30" s="48">
        <v>0.206797</v>
      </c>
      <c r="X30" s="48">
        <v>0.035624</v>
      </c>
      <c r="Y30" s="48">
        <v>0</v>
      </c>
      <c r="Z30" s="48">
        <v>0</v>
      </c>
      <c r="AA30" s="82">
        <v>30</v>
      </c>
      <c r="AB30" s="82"/>
      <c r="AC30" s="84" t="s">
        <v>281</v>
      </c>
      <c r="AD30" s="1">
        <v>0.06533251231527094</v>
      </c>
      <c r="AE30" s="90" t="str">
        <f>REPLACE(INDEX(GroupVertices[Group],MATCH("~"&amp;Vertices[[#This Row],[Vertex]],GroupVertices[Vertex],0)),1,1,"")</f>
        <v>1</v>
      </c>
    </row>
    <row r="31" spans="1:31" ht="15">
      <c r="A31" s="11" t="s">
        <v>276</v>
      </c>
      <c r="B31" s="12"/>
      <c r="C31" s="12" t="s">
        <v>59</v>
      </c>
      <c r="D31" s="76">
        <v>100</v>
      </c>
      <c r="E31" s="77"/>
      <c r="F31" s="12"/>
      <c r="G31" s="12"/>
      <c r="H31" s="13" t="s">
        <v>276</v>
      </c>
      <c r="I31" s="62"/>
      <c r="J31" s="62"/>
      <c r="K31" s="13"/>
      <c r="L31" s="78">
        <v>1</v>
      </c>
      <c r="M31" s="79"/>
      <c r="N31" s="79"/>
      <c r="O31" s="73"/>
      <c r="P31" s="80"/>
      <c r="Q31" s="80"/>
      <c r="R31" s="47">
        <v>1</v>
      </c>
      <c r="S31" s="81"/>
      <c r="T31" s="81"/>
      <c r="U31" s="48">
        <v>0</v>
      </c>
      <c r="V31" s="48">
        <v>0.291667</v>
      </c>
      <c r="W31" s="48">
        <v>0.089478</v>
      </c>
      <c r="X31" s="48">
        <v>0.030249</v>
      </c>
      <c r="Y31" s="48">
        <v>0</v>
      </c>
      <c r="Z31" s="48">
        <v>0</v>
      </c>
      <c r="AA31" s="82">
        <v>31</v>
      </c>
      <c r="AB31" s="82"/>
      <c r="AC31" s="84" t="s">
        <v>281</v>
      </c>
      <c r="AD31" s="1">
        <v>0</v>
      </c>
      <c r="AE31" s="90" t="str">
        <f>REPLACE(INDEX(GroupVertices[Group],MATCH("~"&amp;Vertices[[#This Row],[Vertex]],GroupVertices[Vertex],0)),1,1,"")</f>
        <v>4</v>
      </c>
    </row>
    <row r="32" spans="1:31" ht="15">
      <c r="A32" s="11" t="s">
        <v>277</v>
      </c>
      <c r="B32" s="12"/>
      <c r="C32" s="12" t="s">
        <v>59</v>
      </c>
      <c r="D32" s="76">
        <v>642.8549685614</v>
      </c>
      <c r="E32" s="77"/>
      <c r="F32" s="12"/>
      <c r="G32" s="12"/>
      <c r="H32" s="13" t="s">
        <v>277</v>
      </c>
      <c r="I32" s="62"/>
      <c r="J32" s="62"/>
      <c r="K32" s="13"/>
      <c r="L32" s="78">
        <v>2513.523204979032</v>
      </c>
      <c r="M32" s="79"/>
      <c r="N32" s="79"/>
      <c r="O32" s="73"/>
      <c r="P32" s="80"/>
      <c r="Q32" s="80"/>
      <c r="R32" s="47">
        <v>4</v>
      </c>
      <c r="S32" s="81"/>
      <c r="T32" s="81"/>
      <c r="U32" s="48">
        <v>65.916667</v>
      </c>
      <c r="V32" s="48">
        <v>0.388889</v>
      </c>
      <c r="W32" s="48">
        <v>0.259914</v>
      </c>
      <c r="X32" s="48">
        <v>0.035092</v>
      </c>
      <c r="Y32" s="48">
        <v>0</v>
      </c>
      <c r="Z32" s="48">
        <v>0</v>
      </c>
      <c r="AA32" s="82">
        <v>32</v>
      </c>
      <c r="AB32" s="82"/>
      <c r="AC32" s="84" t="s">
        <v>281</v>
      </c>
      <c r="AD32" s="1">
        <v>0.08117816091954023</v>
      </c>
      <c r="AE32" s="90" t="str">
        <f>REPLACE(INDEX(GroupVertices[Group],MATCH("~"&amp;Vertices[[#This Row],[Vertex]],GroupVertices[Vertex],0)),1,1,"")</f>
        <v>1</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4" t="s">
        <v>39</v>
      </c>
      <c r="C1" s="65"/>
      <c r="D1" s="65"/>
      <c r="E1" s="66"/>
      <c r="F1" s="62" t="s">
        <v>43</v>
      </c>
      <c r="G1" s="67" t="s">
        <v>44</v>
      </c>
      <c r="H1" s="68"/>
      <c r="I1" s="69" t="s">
        <v>40</v>
      </c>
      <c r="J1" s="70"/>
      <c r="K1" s="71" t="s">
        <v>42</v>
      </c>
      <c r="L1" s="72"/>
      <c r="M1" s="72"/>
      <c r="N1" s="72"/>
      <c r="O1" s="72"/>
      <c r="P1" s="72"/>
      <c r="Q1" s="72"/>
      <c r="R1" s="72"/>
      <c r="S1" s="72"/>
      <c r="T1" s="72"/>
      <c r="U1" s="72"/>
      <c r="V1" s="72"/>
      <c r="W1" s="72"/>
      <c r="X1" s="72"/>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87" t="s">
        <v>355</v>
      </c>
      <c r="B3" s="91" t="s">
        <v>360</v>
      </c>
      <c r="C3" s="91" t="s">
        <v>56</v>
      </c>
      <c r="D3" s="88"/>
      <c r="E3" s="12"/>
      <c r="F3" s="13"/>
      <c r="G3" s="73"/>
      <c r="H3" s="73"/>
      <c r="I3" s="89">
        <v>3</v>
      </c>
      <c r="J3" s="59"/>
      <c r="K3" s="47">
        <v>9</v>
      </c>
      <c r="L3" s="47">
        <v>10</v>
      </c>
      <c r="M3" s="47">
        <v>0</v>
      </c>
      <c r="N3" s="47">
        <v>10</v>
      </c>
      <c r="O3" s="47">
        <v>0</v>
      </c>
      <c r="P3" s="48">
        <v>0</v>
      </c>
      <c r="Q3" s="48">
        <v>0</v>
      </c>
      <c r="R3" s="47">
        <v>1</v>
      </c>
      <c r="S3" s="47">
        <v>0</v>
      </c>
      <c r="T3" s="47">
        <v>9</v>
      </c>
      <c r="U3" s="47">
        <v>10</v>
      </c>
      <c r="V3" s="47">
        <v>4</v>
      </c>
      <c r="W3" s="48">
        <v>1.876543</v>
      </c>
      <c r="X3" s="48">
        <v>0.1388888888888889</v>
      </c>
    </row>
    <row r="4" spans="1:24" ht="15">
      <c r="A4" s="97" t="s">
        <v>356</v>
      </c>
      <c r="B4" s="91" t="s">
        <v>361</v>
      </c>
      <c r="C4" s="91" t="s">
        <v>56</v>
      </c>
      <c r="D4" s="98"/>
      <c r="E4" s="12"/>
      <c r="F4" s="13"/>
      <c r="G4" s="73"/>
      <c r="H4" s="73"/>
      <c r="I4" s="89">
        <v>4</v>
      </c>
      <c r="J4" s="99"/>
      <c r="K4" s="47">
        <v>7</v>
      </c>
      <c r="L4" s="47">
        <v>9</v>
      </c>
      <c r="M4" s="47">
        <v>0</v>
      </c>
      <c r="N4" s="47">
        <v>9</v>
      </c>
      <c r="O4" s="47">
        <v>0</v>
      </c>
      <c r="P4" s="48">
        <v>0</v>
      </c>
      <c r="Q4" s="48">
        <v>0</v>
      </c>
      <c r="R4" s="47">
        <v>1</v>
      </c>
      <c r="S4" s="47">
        <v>0</v>
      </c>
      <c r="T4" s="47">
        <v>7</v>
      </c>
      <c r="U4" s="47">
        <v>9</v>
      </c>
      <c r="V4" s="47">
        <v>3</v>
      </c>
      <c r="W4" s="48">
        <v>1.510204</v>
      </c>
      <c r="X4" s="48">
        <v>0.21428571428571427</v>
      </c>
    </row>
    <row r="5" spans="1:24" ht="15">
      <c r="A5" s="97" t="s">
        <v>357</v>
      </c>
      <c r="B5" s="91" t="s">
        <v>362</v>
      </c>
      <c r="C5" s="91" t="s">
        <v>56</v>
      </c>
      <c r="D5" s="98"/>
      <c r="E5" s="12"/>
      <c r="F5" s="13"/>
      <c r="G5" s="73"/>
      <c r="H5" s="73"/>
      <c r="I5" s="89">
        <v>5</v>
      </c>
      <c r="J5" s="99"/>
      <c r="K5" s="47">
        <v>6</v>
      </c>
      <c r="L5" s="47">
        <v>5</v>
      </c>
      <c r="M5" s="47">
        <v>0</v>
      </c>
      <c r="N5" s="47">
        <v>5</v>
      </c>
      <c r="O5" s="47">
        <v>0</v>
      </c>
      <c r="P5" s="48">
        <v>0</v>
      </c>
      <c r="Q5" s="48">
        <v>0</v>
      </c>
      <c r="R5" s="47">
        <v>1</v>
      </c>
      <c r="S5" s="47">
        <v>0</v>
      </c>
      <c r="T5" s="47">
        <v>6</v>
      </c>
      <c r="U5" s="47">
        <v>5</v>
      </c>
      <c r="V5" s="47">
        <v>5</v>
      </c>
      <c r="W5" s="48">
        <v>1.944444</v>
      </c>
      <c r="X5" s="48">
        <v>0.16666666666666666</v>
      </c>
    </row>
    <row r="6" spans="1:24" ht="15">
      <c r="A6" s="97" t="s">
        <v>358</v>
      </c>
      <c r="B6" s="91" t="s">
        <v>363</v>
      </c>
      <c r="C6" s="91" t="s">
        <v>56</v>
      </c>
      <c r="D6" s="98"/>
      <c r="E6" s="12"/>
      <c r="F6" s="13"/>
      <c r="G6" s="73"/>
      <c r="H6" s="73"/>
      <c r="I6" s="89">
        <v>6</v>
      </c>
      <c r="J6" s="99"/>
      <c r="K6" s="47">
        <v>4</v>
      </c>
      <c r="L6" s="47">
        <v>4</v>
      </c>
      <c r="M6" s="47">
        <v>0</v>
      </c>
      <c r="N6" s="47">
        <v>4</v>
      </c>
      <c r="O6" s="47">
        <v>0</v>
      </c>
      <c r="P6" s="48">
        <v>0</v>
      </c>
      <c r="Q6" s="48">
        <v>0</v>
      </c>
      <c r="R6" s="47">
        <v>1</v>
      </c>
      <c r="S6" s="47">
        <v>0</v>
      </c>
      <c r="T6" s="47">
        <v>4</v>
      </c>
      <c r="U6" s="47">
        <v>4</v>
      </c>
      <c r="V6" s="47">
        <v>2</v>
      </c>
      <c r="W6" s="48">
        <v>1</v>
      </c>
      <c r="X6" s="48">
        <v>0.3333333333333333</v>
      </c>
    </row>
    <row r="7" spans="1:24" ht="15">
      <c r="A7" s="97" t="s">
        <v>359</v>
      </c>
      <c r="B7" s="91" t="s">
        <v>364</v>
      </c>
      <c r="C7" s="91" t="s">
        <v>56</v>
      </c>
      <c r="D7" s="100"/>
      <c r="E7" s="101"/>
      <c r="F7" s="102"/>
      <c r="G7" s="103"/>
      <c r="H7" s="103"/>
      <c r="I7" s="104">
        <v>7</v>
      </c>
      <c r="J7" s="105"/>
      <c r="K7" s="47">
        <v>3</v>
      </c>
      <c r="L7" s="47">
        <v>2</v>
      </c>
      <c r="M7" s="47">
        <v>0</v>
      </c>
      <c r="N7" s="47">
        <v>2</v>
      </c>
      <c r="O7" s="47">
        <v>0</v>
      </c>
      <c r="P7" s="48">
        <v>0</v>
      </c>
      <c r="Q7" s="48">
        <v>0</v>
      </c>
      <c r="R7" s="47">
        <v>1</v>
      </c>
      <c r="S7" s="47">
        <v>0</v>
      </c>
      <c r="T7" s="47">
        <v>3</v>
      </c>
      <c r="U7" s="47">
        <v>2</v>
      </c>
      <c r="V7" s="47">
        <v>2</v>
      </c>
      <c r="W7" s="48">
        <v>0.888889</v>
      </c>
      <c r="X7" s="48">
        <v>0.3333333333333333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90" t="s">
        <v>355</v>
      </c>
      <c r="B2" s="93" t="s">
        <v>274</v>
      </c>
      <c r="C2" s="90">
        <f>VLOOKUP("~"&amp;GroupVertices[[#This Row],[Vertex]],Vertices[],MATCH("ID",Vertices[[#Headers],[Vertex]:[Vertex Group]],0),FALSE)</f>
        <v>30</v>
      </c>
    </row>
    <row r="3" spans="1:3" ht="15">
      <c r="A3" s="92" t="s">
        <v>355</v>
      </c>
      <c r="B3" s="93" t="s">
        <v>277</v>
      </c>
      <c r="C3" s="90">
        <f>VLOOKUP("~"&amp;GroupVertices[[#This Row],[Vertex]],Vertices[],MATCH("ID",Vertices[[#Headers],[Vertex]:[Vertex Group]],0),FALSE)</f>
        <v>32</v>
      </c>
    </row>
    <row r="4" spans="1:3" ht="15">
      <c r="A4" s="92" t="s">
        <v>355</v>
      </c>
      <c r="B4" s="93" t="s">
        <v>272</v>
      </c>
      <c r="C4" s="90">
        <f>VLOOKUP("~"&amp;GroupVertices[[#This Row],[Vertex]],Vertices[],MATCH("ID",Vertices[[#Headers],[Vertex]:[Vertex Group]],0),FALSE)</f>
        <v>29</v>
      </c>
    </row>
    <row r="5" spans="1:3" ht="15">
      <c r="A5" s="92" t="s">
        <v>355</v>
      </c>
      <c r="B5" s="93" t="s">
        <v>269</v>
      </c>
      <c r="C5" s="90">
        <f>VLOOKUP("~"&amp;GroupVertices[[#This Row],[Vertex]],Vertices[],MATCH("ID",Vertices[[#Headers],[Vertex]:[Vertex Group]],0),FALSE)</f>
        <v>13</v>
      </c>
    </row>
    <row r="6" spans="1:3" ht="15">
      <c r="A6" s="92" t="s">
        <v>355</v>
      </c>
      <c r="B6" s="93" t="s">
        <v>264</v>
      </c>
      <c r="C6" s="90">
        <f>VLOOKUP("~"&amp;GroupVertices[[#This Row],[Vertex]],Vertices[],MATCH("ID",Vertices[[#Headers],[Vertex]:[Vertex Group]],0),FALSE)</f>
        <v>26</v>
      </c>
    </row>
    <row r="7" spans="1:3" ht="15">
      <c r="A7" s="92" t="s">
        <v>355</v>
      </c>
      <c r="B7" s="93" t="s">
        <v>258</v>
      </c>
      <c r="C7" s="90">
        <f>VLOOKUP("~"&amp;GroupVertices[[#This Row],[Vertex]],Vertices[],MATCH("ID",Vertices[[#Headers],[Vertex]:[Vertex Group]],0),FALSE)</f>
        <v>23</v>
      </c>
    </row>
    <row r="8" spans="1:3" ht="15">
      <c r="A8" s="92" t="s">
        <v>355</v>
      </c>
      <c r="B8" s="93" t="s">
        <v>256</v>
      </c>
      <c r="C8" s="90">
        <f>VLOOKUP("~"&amp;GroupVertices[[#This Row],[Vertex]],Vertices[],MATCH("ID",Vertices[[#Headers],[Vertex]:[Vertex Group]],0),FALSE)</f>
        <v>21</v>
      </c>
    </row>
    <row r="9" spans="1:3" ht="15">
      <c r="A9" s="92" t="s">
        <v>355</v>
      </c>
      <c r="B9" s="93" t="s">
        <v>254</v>
      </c>
      <c r="C9" s="90">
        <f>VLOOKUP("~"&amp;GroupVertices[[#This Row],[Vertex]],Vertices[],MATCH("ID",Vertices[[#Headers],[Vertex]:[Vertex Group]],0),FALSE)</f>
        <v>20</v>
      </c>
    </row>
    <row r="10" spans="1:3" ht="15">
      <c r="A10" s="92" t="s">
        <v>355</v>
      </c>
      <c r="B10" s="93" t="s">
        <v>252</v>
      </c>
      <c r="C10" s="90">
        <f>VLOOKUP("~"&amp;GroupVertices[[#This Row],[Vertex]],Vertices[],MATCH("ID",Vertices[[#Headers],[Vertex]:[Vertex Group]],0),FALSE)</f>
        <v>19</v>
      </c>
    </row>
    <row r="11" spans="1:3" ht="15">
      <c r="A11" s="92" t="s">
        <v>356</v>
      </c>
      <c r="B11" s="93" t="s">
        <v>261</v>
      </c>
      <c r="C11" s="90">
        <f>VLOOKUP("~"&amp;GroupVertices[[#This Row],[Vertex]],Vertices[],MATCH("ID",Vertices[[#Headers],[Vertex]:[Vertex Group]],0),FALSE)</f>
        <v>9</v>
      </c>
    </row>
    <row r="12" spans="1:3" ht="15">
      <c r="A12" s="92" t="s">
        <v>356</v>
      </c>
      <c r="B12" s="93" t="s">
        <v>278</v>
      </c>
      <c r="C12" s="90">
        <f>VLOOKUP("~"&amp;GroupVertices[[#This Row],[Vertex]],Vertices[],MATCH("ID",Vertices[[#Headers],[Vertex]:[Vertex Group]],0),FALSE)</f>
        <v>17</v>
      </c>
    </row>
    <row r="13" spans="1:3" ht="15">
      <c r="A13" s="92" t="s">
        <v>356</v>
      </c>
      <c r="B13" s="93" t="s">
        <v>270</v>
      </c>
      <c r="C13" s="90">
        <f>VLOOKUP("~"&amp;GroupVertices[[#This Row],[Vertex]],Vertices[],MATCH("ID",Vertices[[#Headers],[Vertex]:[Vertex Group]],0),FALSE)</f>
        <v>28</v>
      </c>
    </row>
    <row r="14" spans="1:3" ht="15">
      <c r="A14" s="92" t="s">
        <v>356</v>
      </c>
      <c r="B14" s="93" t="s">
        <v>257</v>
      </c>
      <c r="C14" s="90">
        <f>VLOOKUP("~"&amp;GroupVertices[[#This Row],[Vertex]],Vertices[],MATCH("ID",Vertices[[#Headers],[Vertex]:[Vertex Group]],0),FALSE)</f>
        <v>7</v>
      </c>
    </row>
    <row r="15" spans="1:3" ht="15">
      <c r="A15" s="92" t="s">
        <v>356</v>
      </c>
      <c r="B15" s="93" t="s">
        <v>253</v>
      </c>
      <c r="C15" s="90">
        <f>VLOOKUP("~"&amp;GroupVertices[[#This Row],[Vertex]],Vertices[],MATCH("ID",Vertices[[#Headers],[Vertex]:[Vertex Group]],0),FALSE)</f>
        <v>5</v>
      </c>
    </row>
    <row r="16" spans="1:3" ht="15">
      <c r="A16" s="92" t="s">
        <v>356</v>
      </c>
      <c r="B16" s="93" t="s">
        <v>275</v>
      </c>
      <c r="C16" s="90">
        <f>VLOOKUP("~"&amp;GroupVertices[[#This Row],[Vertex]],Vertices[],MATCH("ID",Vertices[[#Headers],[Vertex]:[Vertex Group]],0),FALSE)</f>
        <v>16</v>
      </c>
    </row>
    <row r="17" spans="1:3" ht="15">
      <c r="A17" s="92" t="s">
        <v>356</v>
      </c>
      <c r="B17" s="93" t="s">
        <v>268</v>
      </c>
      <c r="C17" s="90">
        <f>VLOOKUP("~"&amp;GroupVertices[[#This Row],[Vertex]],Vertices[],MATCH("ID",Vertices[[#Headers],[Vertex]:[Vertex Group]],0),FALSE)</f>
        <v>27</v>
      </c>
    </row>
    <row r="18" spans="1:3" ht="15">
      <c r="A18" s="92" t="s">
        <v>357</v>
      </c>
      <c r="B18" s="93" t="s">
        <v>260</v>
      </c>
      <c r="C18" s="90">
        <f>VLOOKUP("~"&amp;GroupVertices[[#This Row],[Vertex]],Vertices[],MATCH("ID",Vertices[[#Headers],[Vertex]:[Vertex Group]],0),FALSE)</f>
        <v>24</v>
      </c>
    </row>
    <row r="19" spans="1:3" ht="15">
      <c r="A19" s="92" t="s">
        <v>357</v>
      </c>
      <c r="B19" s="93" t="s">
        <v>266</v>
      </c>
      <c r="C19" s="90">
        <f>VLOOKUP("~"&amp;GroupVertices[[#This Row],[Vertex]],Vertices[],MATCH("ID",Vertices[[#Headers],[Vertex]:[Vertex Group]],0),FALSE)</f>
        <v>11</v>
      </c>
    </row>
    <row r="20" spans="1:3" ht="15">
      <c r="A20" s="92" t="s">
        <v>357</v>
      </c>
      <c r="B20" s="93" t="s">
        <v>263</v>
      </c>
      <c r="C20" s="90">
        <f>VLOOKUP("~"&amp;GroupVertices[[#This Row],[Vertex]],Vertices[],MATCH("ID",Vertices[[#Headers],[Vertex]:[Vertex Group]],0),FALSE)</f>
        <v>10</v>
      </c>
    </row>
    <row r="21" spans="1:3" ht="15">
      <c r="A21" s="92" t="s">
        <v>357</v>
      </c>
      <c r="B21" s="93" t="s">
        <v>273</v>
      </c>
      <c r="C21" s="90">
        <f>VLOOKUP("~"&amp;GroupVertices[[#This Row],[Vertex]],Vertices[],MATCH("ID",Vertices[[#Headers],[Vertex]:[Vertex Group]],0),FALSE)</f>
        <v>15</v>
      </c>
    </row>
    <row r="22" spans="1:3" ht="15">
      <c r="A22" s="92" t="s">
        <v>357</v>
      </c>
      <c r="B22" s="93" t="s">
        <v>255</v>
      </c>
      <c r="C22" s="90">
        <f>VLOOKUP("~"&amp;GroupVertices[[#This Row],[Vertex]],Vertices[],MATCH("ID",Vertices[[#Headers],[Vertex]:[Vertex Group]],0),FALSE)</f>
        <v>6</v>
      </c>
    </row>
    <row r="23" spans="1:3" ht="15">
      <c r="A23" s="92" t="s">
        <v>357</v>
      </c>
      <c r="B23" s="93" t="s">
        <v>250</v>
      </c>
      <c r="C23" s="90">
        <f>VLOOKUP("~"&amp;GroupVertices[[#This Row],[Vertex]],Vertices[],MATCH("ID",Vertices[[#Headers],[Vertex]:[Vertex Group]],0),FALSE)</f>
        <v>18</v>
      </c>
    </row>
    <row r="24" spans="1:3" ht="15">
      <c r="A24" s="92" t="s">
        <v>358</v>
      </c>
      <c r="B24" s="93" t="s">
        <v>262</v>
      </c>
      <c r="C24" s="90">
        <f>VLOOKUP("~"&amp;GroupVertices[[#This Row],[Vertex]],Vertices[],MATCH("ID",Vertices[[#Headers],[Vertex]:[Vertex Group]],0),FALSE)</f>
        <v>25</v>
      </c>
    </row>
    <row r="25" spans="1:3" ht="15">
      <c r="A25" s="92" t="s">
        <v>358</v>
      </c>
      <c r="B25" s="93" t="s">
        <v>249</v>
      </c>
      <c r="C25" s="90">
        <f>VLOOKUP("~"&amp;GroupVertices[[#This Row],[Vertex]],Vertices[],MATCH("ID",Vertices[[#Headers],[Vertex]:[Vertex Group]],0),FALSE)</f>
        <v>3</v>
      </c>
    </row>
    <row r="26" spans="1:3" ht="15">
      <c r="A26" s="92" t="s">
        <v>358</v>
      </c>
      <c r="B26" s="93" t="s">
        <v>276</v>
      </c>
      <c r="C26" s="90">
        <f>VLOOKUP("~"&amp;GroupVertices[[#This Row],[Vertex]],Vertices[],MATCH("ID",Vertices[[#Headers],[Vertex]:[Vertex Group]],0),FALSE)</f>
        <v>31</v>
      </c>
    </row>
    <row r="27" spans="1:3" ht="15">
      <c r="A27" s="92" t="s">
        <v>358</v>
      </c>
      <c r="B27" s="93" t="s">
        <v>251</v>
      </c>
      <c r="C27" s="90">
        <f>VLOOKUP("~"&amp;GroupVertices[[#This Row],[Vertex]],Vertices[],MATCH("ID",Vertices[[#Headers],[Vertex]:[Vertex Group]],0),FALSE)</f>
        <v>4</v>
      </c>
    </row>
    <row r="28" spans="1:3" ht="15">
      <c r="A28" s="92" t="s">
        <v>359</v>
      </c>
      <c r="B28" s="93" t="s">
        <v>267</v>
      </c>
      <c r="C28" s="90">
        <f>VLOOKUP("~"&amp;GroupVertices[[#This Row],[Vertex]],Vertices[],MATCH("ID",Vertices[[#Headers],[Vertex]:[Vertex Group]],0),FALSE)</f>
        <v>12</v>
      </c>
    </row>
    <row r="29" spans="1:3" ht="15">
      <c r="A29" s="92" t="s">
        <v>359</v>
      </c>
      <c r="B29" s="93" t="s">
        <v>259</v>
      </c>
      <c r="C29" s="90">
        <f>VLOOKUP("~"&amp;GroupVertices[[#This Row],[Vertex]],Vertices[],MATCH("ID",Vertices[[#Headers],[Vertex]:[Vertex Group]],0),FALSE)</f>
        <v>8</v>
      </c>
    </row>
    <row r="30" spans="1:3" ht="15">
      <c r="A30" s="92" t="s">
        <v>359</v>
      </c>
      <c r="B30" s="93" t="s">
        <v>271</v>
      </c>
      <c r="C30" s="90">
        <f>VLOOKUP("~"&amp;GroupVertices[[#This Row],[Vertex]],Vertices[],MATCH("ID",Vertices[[#Headers],[Vertex]:[Vertex Group]],0),FALSE)</f>
        <v>14</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372</v>
      </c>
      <c r="B2" s="32" t="s">
        <v>248</v>
      </c>
      <c r="D2" s="30">
        <f>MIN(Vertices[Degree])</f>
        <v>1</v>
      </c>
      <c r="E2">
        <f>COUNTIF(Vertices[Degree],"&gt;= "&amp;D2)-COUNTIF(Vertices[Degree],"&gt;="&amp;D3)</f>
        <v>6</v>
      </c>
      <c r="F2" s="35">
        <f>MIN(Vertices[In-Degree])</f>
        <v>0</v>
      </c>
      <c r="G2" s="36">
        <f>COUNTIF(Vertices[In-Degree],"&gt;= "&amp;F2)-COUNTIF(Vertices[In-Degree],"&gt;="&amp;F3)</f>
        <v>0</v>
      </c>
      <c r="H2" s="35">
        <f>MIN(Vertices[Out-Degree])</f>
        <v>0</v>
      </c>
      <c r="I2" s="36">
        <f>COUNTIF(Vertices[Out-Degree],"&gt;= "&amp;H2)-COUNTIF(Vertices[Out-Degree],"&gt;="&amp;H3)</f>
        <v>0</v>
      </c>
      <c r="J2" s="35">
        <f>MIN(Vertices[Betweenness Centrality])</f>
        <v>0</v>
      </c>
      <c r="K2" s="36">
        <f>COUNTIF(Vertices[Betweenness Centrality],"&gt;= "&amp;J2)-COUNTIF(Vertices[Betweenness Centrality],"&gt;="&amp;J3)</f>
        <v>7</v>
      </c>
      <c r="L2" s="35">
        <f>MIN(Vertices[Closeness Centrality])</f>
        <v>0.239316</v>
      </c>
      <c r="M2" s="36">
        <f>COUNTIF(Vertices[Closeness Centrality],"&gt;= "&amp;L2)-COUNTIF(Vertices[Closeness Centrality],"&gt;="&amp;L3)</f>
        <v>1</v>
      </c>
      <c r="N2" s="35">
        <f>MIN(Vertices[Eigenvector Centrality])</f>
        <v>0.018205</v>
      </c>
      <c r="O2" s="36">
        <f>COUNTIF(Vertices[Eigenvector Centrality],"&gt;= "&amp;N2)-COUNTIF(Vertices[Eigenvector Centrality],"&gt;="&amp;N3)</f>
        <v>1</v>
      </c>
      <c r="P2" s="35">
        <f>MIN(Vertices[PageRank])</f>
        <v>0.030249</v>
      </c>
      <c r="Q2" s="36">
        <f>COUNTIF(Vertices[PageRank],"&gt;= "&amp;P2)-COUNTIF(Vertices[PageRank],"&gt;="&amp;P3)</f>
        <v>1</v>
      </c>
      <c r="R2" s="35">
        <f>MIN(Vertices[Clustering Coefficient])</f>
        <v>0</v>
      </c>
      <c r="S2" s="41">
        <f>COUNTIF(Vertices[Clustering Coefficient],"&gt;= "&amp;R2)-COUNTIF(Vertices[Clustering Coefficient],"&gt;="&amp;R3)</f>
        <v>21</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96"/>
      <c r="B3" s="96"/>
      <c r="D3" s="30">
        <f aca="true" t="shared" si="1" ref="D3:D35">D2+($D$36-$D$2)/BinDivisor</f>
        <v>1.1764705882352942</v>
      </c>
      <c r="E3">
        <f>COUNTIF(Vertices[Degree],"&gt;= "&amp;D3)-COUNTIF(Vertices[Degree],"&gt;="&amp;D4)</f>
        <v>0</v>
      </c>
      <c r="F3" s="37">
        <f aca="true" t="shared" si="2" ref="F3:F35">F2+($F$36-$F$2)/BinDivisor</f>
        <v>0</v>
      </c>
      <c r="G3" s="38">
        <f>COUNTIF(Vertices[In-Degree],"&gt;= "&amp;F3)-COUNTIF(Vertices[In-Degree],"&gt;="&amp;F4)</f>
        <v>0</v>
      </c>
      <c r="H3" s="37">
        <f aca="true" t="shared" si="3" ref="H3:H35">H2+($H$36-$H$2)/BinDivisor</f>
        <v>0</v>
      </c>
      <c r="I3" s="38">
        <f>COUNTIF(Vertices[Out-Degree],"&gt;= "&amp;H3)-COUNTIF(Vertices[Out-Degree],"&gt;="&amp;H4)</f>
        <v>0</v>
      </c>
      <c r="J3" s="37">
        <f aca="true" t="shared" si="4" ref="J3:J35">J2+($J$36-$J$2)/BinDivisor</f>
        <v>7.714705882352941</v>
      </c>
      <c r="K3" s="38">
        <f>COUNTIF(Vertices[Betweenness Centrality],"&gt;= "&amp;J3)-COUNTIF(Vertices[Betweenness Centrality],"&gt;="&amp;J4)</f>
        <v>2</v>
      </c>
      <c r="L3" s="37">
        <f aca="true" t="shared" si="5" ref="L3:L35">L2+($L$36-$L$2)/BinDivisor</f>
        <v>0.24577776470588236</v>
      </c>
      <c r="M3" s="38">
        <f>COUNTIF(Vertices[Closeness Centrality],"&gt;= "&amp;L3)-COUNTIF(Vertices[Closeness Centrality],"&gt;="&amp;L4)</f>
        <v>1</v>
      </c>
      <c r="N3" s="37">
        <f aca="true" t="shared" si="6" ref="N3:N35">N2+($N$36-$N$2)/BinDivisor</f>
        <v>0.028469441176470586</v>
      </c>
      <c r="O3" s="38">
        <f>COUNTIF(Vertices[Eigenvector Centrality],"&gt;= "&amp;N3)-COUNTIF(Vertices[Eigenvector Centrality],"&gt;="&amp;N4)</f>
        <v>2</v>
      </c>
      <c r="P3" s="37">
        <f aca="true" t="shared" si="7" ref="P3:P35">P2+($P$36-$P$2)/BinDivisor</f>
        <v>0.030648029411764706</v>
      </c>
      <c r="Q3" s="38">
        <f>COUNTIF(Vertices[PageRank],"&gt;= "&amp;P3)-COUNTIF(Vertices[PageRank],"&gt;="&amp;P4)</f>
        <v>2</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29</v>
      </c>
      <c r="D4" s="30">
        <f t="shared" si="1"/>
        <v>1.3529411764705883</v>
      </c>
      <c r="E4">
        <f>COUNTIF(Vertices[Degree],"&gt;= "&amp;D4)-COUNTIF(Vertices[Degree],"&gt;="&amp;D5)</f>
        <v>0</v>
      </c>
      <c r="F4" s="35">
        <f t="shared" si="2"/>
        <v>0</v>
      </c>
      <c r="G4" s="36">
        <f>COUNTIF(Vertices[In-Degree],"&gt;= "&amp;F4)-COUNTIF(Vertices[In-Degree],"&gt;="&amp;F5)</f>
        <v>0</v>
      </c>
      <c r="H4" s="35">
        <f t="shared" si="3"/>
        <v>0</v>
      </c>
      <c r="I4" s="36">
        <f>COUNTIF(Vertices[Out-Degree],"&gt;= "&amp;H4)-COUNTIF(Vertices[Out-Degree],"&gt;="&amp;H5)</f>
        <v>0</v>
      </c>
      <c r="J4" s="35">
        <f t="shared" si="4"/>
        <v>15.429411764705883</v>
      </c>
      <c r="K4" s="36">
        <f>COUNTIF(Vertices[Betweenness Centrality],"&gt;= "&amp;J4)-COUNTIF(Vertices[Betweenness Centrality],"&gt;="&amp;J5)</f>
        <v>3</v>
      </c>
      <c r="L4" s="35">
        <f t="shared" si="5"/>
        <v>0.2522395294117647</v>
      </c>
      <c r="M4" s="36">
        <f>COUNTIF(Vertices[Closeness Centrality],"&gt;= "&amp;L4)-COUNTIF(Vertices[Closeness Centrality],"&gt;="&amp;L5)</f>
        <v>3</v>
      </c>
      <c r="N4" s="35">
        <f t="shared" si="6"/>
        <v>0.038733882352941174</v>
      </c>
      <c r="O4" s="36">
        <f>COUNTIF(Vertices[Eigenvector Centrality],"&gt;= "&amp;N4)-COUNTIF(Vertices[Eigenvector Centrality],"&gt;="&amp;N5)</f>
        <v>2</v>
      </c>
      <c r="P4" s="35">
        <f t="shared" si="7"/>
        <v>0.03104705882352941</v>
      </c>
      <c r="Q4" s="36">
        <f>COUNTIF(Vertices[PageRank],"&gt;= "&amp;P4)-COUNTIF(Vertices[PageRank],"&gt;="&amp;P5)</f>
        <v>3</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96"/>
      <c r="B5" s="96"/>
      <c r="D5" s="30">
        <f t="shared" si="1"/>
        <v>1.5294117647058825</v>
      </c>
      <c r="E5">
        <f>COUNTIF(Vertices[Degree],"&gt;= "&amp;D5)-COUNTIF(Vertices[Degree],"&gt;="&amp;D6)</f>
        <v>0</v>
      </c>
      <c r="F5" s="37">
        <f t="shared" si="2"/>
        <v>0</v>
      </c>
      <c r="G5" s="38">
        <f>COUNTIF(Vertices[In-Degree],"&gt;= "&amp;F5)-COUNTIF(Vertices[In-Degree],"&gt;="&amp;F6)</f>
        <v>0</v>
      </c>
      <c r="H5" s="37">
        <f t="shared" si="3"/>
        <v>0</v>
      </c>
      <c r="I5" s="38">
        <f>COUNTIF(Vertices[Out-Degree],"&gt;= "&amp;H5)-COUNTIF(Vertices[Out-Degree],"&gt;="&amp;H6)</f>
        <v>0</v>
      </c>
      <c r="J5" s="37">
        <f t="shared" si="4"/>
        <v>23.144117647058824</v>
      </c>
      <c r="K5" s="38">
        <f>COUNTIF(Vertices[Betweenness Centrality],"&gt;= "&amp;J5)-COUNTIF(Vertices[Betweenness Centrality],"&gt;="&amp;J6)</f>
        <v>0</v>
      </c>
      <c r="L5" s="37">
        <f t="shared" si="5"/>
        <v>0.25870129411764703</v>
      </c>
      <c r="M5" s="38">
        <f>COUNTIF(Vertices[Closeness Centrality],"&gt;= "&amp;L5)-COUNTIF(Vertices[Closeness Centrality],"&gt;="&amp;L6)</f>
        <v>0</v>
      </c>
      <c r="N5" s="37">
        <f t="shared" si="6"/>
        <v>0.04899832352941176</v>
      </c>
      <c r="O5" s="38">
        <f>COUNTIF(Vertices[Eigenvector Centrality],"&gt;= "&amp;N5)-COUNTIF(Vertices[Eigenvector Centrality],"&gt;="&amp;N6)</f>
        <v>2</v>
      </c>
      <c r="P5" s="37">
        <f t="shared" si="7"/>
        <v>0.031446088235294115</v>
      </c>
      <c r="Q5" s="38">
        <f>COUNTIF(Vertices[PageRank],"&gt;= "&amp;P5)-COUNTIF(Vertices[PageRank],"&gt;="&amp;P6)</f>
        <v>0</v>
      </c>
      <c r="R5" s="37">
        <f t="shared" si="8"/>
        <v>0.044117647058823525</v>
      </c>
      <c r="S5" s="42">
        <f>COUNTIF(Vertices[Clustering Coefficient],"&gt;= "&amp;R5)-COUNTIF(Vertices[Clustering Coefficient],"&gt;="&amp;R6)</f>
        <v>1</v>
      </c>
      <c r="T5" s="37" t="e">
        <f ca="1" t="shared" si="9"/>
        <v>#REF!</v>
      </c>
      <c r="U5" s="38" t="e">
        <f ca="1" t="shared" si="0"/>
        <v>#REF!</v>
      </c>
    </row>
    <row r="6" spans="1:21" ht="15">
      <c r="A6" s="32" t="s">
        <v>148</v>
      </c>
      <c r="B6" s="32">
        <v>43</v>
      </c>
      <c r="D6" s="30">
        <f t="shared" si="1"/>
        <v>1.7058823529411766</v>
      </c>
      <c r="E6">
        <f>COUNTIF(Vertices[Degree],"&gt;= "&amp;D6)-COUNTIF(Vertices[Degree],"&gt;="&amp;D7)</f>
        <v>0</v>
      </c>
      <c r="F6" s="35">
        <f t="shared" si="2"/>
        <v>0</v>
      </c>
      <c r="G6" s="36">
        <f>COUNTIF(Vertices[In-Degree],"&gt;= "&amp;F6)-COUNTIF(Vertices[In-Degree],"&gt;="&amp;F7)</f>
        <v>0</v>
      </c>
      <c r="H6" s="35">
        <f t="shared" si="3"/>
        <v>0</v>
      </c>
      <c r="I6" s="36">
        <f>COUNTIF(Vertices[Out-Degree],"&gt;= "&amp;H6)-COUNTIF(Vertices[Out-Degree],"&gt;="&amp;H7)</f>
        <v>0</v>
      </c>
      <c r="J6" s="35">
        <f t="shared" si="4"/>
        <v>30.858823529411765</v>
      </c>
      <c r="K6" s="36">
        <f>COUNTIF(Vertices[Betweenness Centrality],"&gt;= "&amp;J6)-COUNTIF(Vertices[Betweenness Centrality],"&gt;="&amp;J7)</f>
        <v>0</v>
      </c>
      <c r="L6" s="35">
        <f t="shared" si="5"/>
        <v>0.26516305882352936</v>
      </c>
      <c r="M6" s="36">
        <f>COUNTIF(Vertices[Closeness Centrality],"&gt;= "&amp;L6)-COUNTIF(Vertices[Closeness Centrality],"&gt;="&amp;L7)</f>
        <v>0</v>
      </c>
      <c r="N6" s="35">
        <f t="shared" si="6"/>
        <v>0.05926276470588235</v>
      </c>
      <c r="O6" s="36">
        <f>COUNTIF(Vertices[Eigenvector Centrality],"&gt;= "&amp;N6)-COUNTIF(Vertices[Eigenvector Centrality],"&gt;="&amp;N7)</f>
        <v>0</v>
      </c>
      <c r="P6" s="35">
        <f t="shared" si="7"/>
        <v>0.03184511764705882</v>
      </c>
      <c r="Q6" s="36">
        <f>COUNTIF(Vertices[PageRank],"&gt;= "&amp;P6)-COUNTIF(Vertices[PageRank],"&gt;="&amp;P7)</f>
        <v>1</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0</v>
      </c>
      <c r="D7" s="30">
        <f t="shared" si="1"/>
        <v>1.8823529411764708</v>
      </c>
      <c r="E7">
        <f>COUNTIF(Vertices[Degree],"&gt;= "&amp;D7)-COUNTIF(Vertices[Degree],"&gt;="&amp;D8)</f>
        <v>4</v>
      </c>
      <c r="F7" s="37">
        <f t="shared" si="2"/>
        <v>0</v>
      </c>
      <c r="G7" s="38">
        <f>COUNTIF(Vertices[In-Degree],"&gt;= "&amp;F7)-COUNTIF(Vertices[In-Degree],"&gt;="&amp;F8)</f>
        <v>0</v>
      </c>
      <c r="H7" s="37">
        <f t="shared" si="3"/>
        <v>0</v>
      </c>
      <c r="I7" s="38">
        <f>COUNTIF(Vertices[Out-Degree],"&gt;= "&amp;H7)-COUNTIF(Vertices[Out-Degree],"&gt;="&amp;H8)</f>
        <v>0</v>
      </c>
      <c r="J7" s="37">
        <f t="shared" si="4"/>
        <v>38.57352941176471</v>
      </c>
      <c r="K7" s="38">
        <f>COUNTIF(Vertices[Betweenness Centrality],"&gt;= "&amp;J7)-COUNTIF(Vertices[Betweenness Centrality],"&gt;="&amp;J8)</f>
        <v>2</v>
      </c>
      <c r="L7" s="37">
        <f t="shared" si="5"/>
        <v>0.2716248235294117</v>
      </c>
      <c r="M7" s="38">
        <f>COUNTIF(Vertices[Closeness Centrality],"&gt;= "&amp;L7)-COUNTIF(Vertices[Closeness Centrality],"&gt;="&amp;L8)</f>
        <v>0</v>
      </c>
      <c r="N7" s="37">
        <f t="shared" si="6"/>
        <v>0.06952720588235294</v>
      </c>
      <c r="O7" s="38">
        <f>COUNTIF(Vertices[Eigenvector Centrality],"&gt;= "&amp;N7)-COUNTIF(Vertices[Eigenvector Centrality],"&gt;="&amp;N8)</f>
        <v>2</v>
      </c>
      <c r="P7" s="37">
        <f t="shared" si="7"/>
        <v>0.03224414705882353</v>
      </c>
      <c r="Q7" s="38">
        <f>COUNTIF(Vertices[PageRank],"&gt;= "&amp;P7)-COUNTIF(Vertices[PageRank],"&gt;="&amp;P8)</f>
        <v>1</v>
      </c>
      <c r="R7" s="37">
        <f t="shared" si="8"/>
        <v>0.07352941176470588</v>
      </c>
      <c r="S7" s="42">
        <f>COUNTIF(Vertices[Clustering Coefficient],"&gt;= "&amp;R7)-COUNTIF(Vertices[Clustering Coefficient],"&gt;="&amp;R8)</f>
        <v>1</v>
      </c>
      <c r="T7" s="37" t="e">
        <f ca="1" t="shared" si="9"/>
        <v>#REF!</v>
      </c>
      <c r="U7" s="38" t="e">
        <f ca="1" t="shared" si="0"/>
        <v>#REF!</v>
      </c>
    </row>
    <row r="8" spans="1:21" ht="15">
      <c r="A8" s="32" t="s">
        <v>150</v>
      </c>
      <c r="B8" s="32">
        <v>43</v>
      </c>
      <c r="D8" s="30">
        <f t="shared" si="1"/>
        <v>2.058823529411765</v>
      </c>
      <c r="E8">
        <f>COUNTIF(Vertices[Degree],"&gt;= "&amp;D8)-COUNTIF(Vertices[Degree],"&gt;="&amp;D9)</f>
        <v>0</v>
      </c>
      <c r="F8" s="35">
        <f t="shared" si="2"/>
        <v>0</v>
      </c>
      <c r="G8" s="36">
        <f>COUNTIF(Vertices[In-Degree],"&gt;= "&amp;F8)-COUNTIF(Vertices[In-Degree],"&gt;="&amp;F9)</f>
        <v>0</v>
      </c>
      <c r="H8" s="35">
        <f t="shared" si="3"/>
        <v>0</v>
      </c>
      <c r="I8" s="36">
        <f>COUNTIF(Vertices[Out-Degree],"&gt;= "&amp;H8)-COUNTIF(Vertices[Out-Degree],"&gt;="&amp;H9)</f>
        <v>0</v>
      </c>
      <c r="J8" s="35">
        <f t="shared" si="4"/>
        <v>46.288235294117655</v>
      </c>
      <c r="K8" s="36">
        <f>COUNTIF(Vertices[Betweenness Centrality],"&gt;= "&amp;J8)-COUNTIF(Vertices[Betweenness Centrality],"&gt;="&amp;J9)</f>
        <v>4</v>
      </c>
      <c r="L8" s="35">
        <f t="shared" si="5"/>
        <v>0.27808658823529403</v>
      </c>
      <c r="M8" s="36">
        <f>COUNTIF(Vertices[Closeness Centrality],"&gt;= "&amp;L8)-COUNTIF(Vertices[Closeness Centrality],"&gt;="&amp;L9)</f>
        <v>0</v>
      </c>
      <c r="N8" s="35">
        <f t="shared" si="6"/>
        <v>0.07979164705882352</v>
      </c>
      <c r="O8" s="36">
        <f>COUNTIF(Vertices[Eigenvector Centrality],"&gt;= "&amp;N8)-COUNTIF(Vertices[Eigenvector Centrality],"&gt;="&amp;N9)</f>
        <v>2</v>
      </c>
      <c r="P8" s="35">
        <f t="shared" si="7"/>
        <v>0.03264317647058824</v>
      </c>
      <c r="Q8" s="36">
        <f>COUNTIF(Vertices[PageRank],"&gt;= "&amp;P8)-COUNTIF(Vertices[PageRank],"&gt;="&amp;P9)</f>
        <v>4</v>
      </c>
      <c r="R8" s="35">
        <f t="shared" si="8"/>
        <v>0.08823529411764706</v>
      </c>
      <c r="S8" s="41">
        <f>COUNTIF(Vertices[Clustering Coefficient],"&gt;= "&amp;R8)-COUNTIF(Vertices[Clustering Coefficient],"&gt;="&amp;R9)</f>
        <v>2</v>
      </c>
      <c r="T8" s="35" t="e">
        <f ca="1" t="shared" si="9"/>
        <v>#REF!</v>
      </c>
      <c r="U8" s="36" t="e">
        <f ca="1" t="shared" si="0"/>
        <v>#REF!</v>
      </c>
    </row>
    <row r="9" spans="1:21" ht="15">
      <c r="A9" s="96"/>
      <c r="B9" s="96"/>
      <c r="D9" s="30">
        <f t="shared" si="1"/>
        <v>2.235294117647059</v>
      </c>
      <c r="E9">
        <f>COUNTIF(Vertices[Degree],"&gt;= "&amp;D9)-COUNTIF(Vertices[Degree],"&gt;="&amp;D10)</f>
        <v>0</v>
      </c>
      <c r="F9" s="37">
        <f t="shared" si="2"/>
        <v>0</v>
      </c>
      <c r="G9" s="38">
        <f>COUNTIF(Vertices[In-Degree],"&gt;= "&amp;F9)-COUNTIF(Vertices[In-Degree],"&gt;="&amp;F10)</f>
        <v>0</v>
      </c>
      <c r="H9" s="37">
        <f t="shared" si="3"/>
        <v>0</v>
      </c>
      <c r="I9" s="38">
        <f>COUNTIF(Vertices[Out-Degree],"&gt;= "&amp;H9)-COUNTIF(Vertices[Out-Degree],"&gt;="&amp;H10)</f>
        <v>0</v>
      </c>
      <c r="J9" s="37">
        <f t="shared" si="4"/>
        <v>54.0029411764706</v>
      </c>
      <c r="K9" s="38">
        <f>COUNTIF(Vertices[Betweenness Centrality],"&gt;= "&amp;J9)-COUNTIF(Vertices[Betweenness Centrality],"&gt;="&amp;J10)</f>
        <v>0</v>
      </c>
      <c r="L9" s="37">
        <f t="shared" si="5"/>
        <v>0.28454835294117636</v>
      </c>
      <c r="M9" s="38">
        <f>COUNTIF(Vertices[Closeness Centrality],"&gt;= "&amp;L9)-COUNTIF(Vertices[Closeness Centrality],"&gt;="&amp;L10)</f>
        <v>0</v>
      </c>
      <c r="N9" s="37">
        <f t="shared" si="6"/>
        <v>0.09005608823529411</v>
      </c>
      <c r="O9" s="38">
        <f>COUNTIF(Vertices[Eigenvector Centrality],"&gt;= "&amp;N9)-COUNTIF(Vertices[Eigenvector Centrality],"&gt;="&amp;N10)</f>
        <v>1</v>
      </c>
      <c r="P9" s="37">
        <f t="shared" si="7"/>
        <v>0.033042205882352946</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2.411764705882353</v>
      </c>
      <c r="E10">
        <f>COUNTIF(Vertices[Degree],"&gt;= "&amp;D10)-COUNTIF(Vertices[Degree],"&gt;="&amp;D11)</f>
        <v>0</v>
      </c>
      <c r="F10" s="35">
        <f t="shared" si="2"/>
        <v>0</v>
      </c>
      <c r="G10" s="36">
        <f>COUNTIF(Vertices[In-Degree],"&gt;= "&amp;F10)-COUNTIF(Vertices[In-Degree],"&gt;="&amp;F11)</f>
        <v>0</v>
      </c>
      <c r="H10" s="35">
        <f t="shared" si="3"/>
        <v>0</v>
      </c>
      <c r="I10" s="36">
        <f>COUNTIF(Vertices[Out-Degree],"&gt;= "&amp;H10)-COUNTIF(Vertices[Out-Degree],"&gt;="&amp;H11)</f>
        <v>0</v>
      </c>
      <c r="J10" s="35">
        <f t="shared" si="4"/>
        <v>61.717647058823545</v>
      </c>
      <c r="K10" s="36">
        <f>COUNTIF(Vertices[Betweenness Centrality],"&gt;= "&amp;J10)-COUNTIF(Vertices[Betweenness Centrality],"&gt;="&amp;J11)</f>
        <v>3</v>
      </c>
      <c r="L10" s="35">
        <f t="shared" si="5"/>
        <v>0.2910101176470587</v>
      </c>
      <c r="M10" s="36">
        <f>COUNTIF(Vertices[Closeness Centrality],"&gt;= "&amp;L10)-COUNTIF(Vertices[Closeness Centrality],"&gt;="&amp;L11)</f>
        <v>3</v>
      </c>
      <c r="N10" s="35">
        <f t="shared" si="6"/>
        <v>0.1003205294117647</v>
      </c>
      <c r="O10" s="36">
        <f>COUNTIF(Vertices[Eigenvector Centrality],"&gt;= "&amp;N10)-COUNTIF(Vertices[Eigenvector Centrality],"&gt;="&amp;N11)</f>
        <v>0</v>
      </c>
      <c r="P10" s="35">
        <f t="shared" si="7"/>
        <v>0.033441235294117654</v>
      </c>
      <c r="Q10" s="36">
        <f>COUNTIF(Vertices[PageRank],"&gt;= "&amp;P10)-COUNTIF(Vertices[PageRank],"&gt;="&amp;P11)</f>
        <v>2</v>
      </c>
      <c r="R10" s="35">
        <f t="shared" si="8"/>
        <v>0.11764705882352942</v>
      </c>
      <c r="S10" s="41">
        <f>COUNTIF(Vertices[Clustering Coefficient],"&gt;= "&amp;R10)-COUNTIF(Vertices[Clustering Coefficient],"&gt;="&amp;R11)</f>
        <v>0</v>
      </c>
      <c r="T10" s="35" t="e">
        <f ca="1" t="shared" si="9"/>
        <v>#REF!</v>
      </c>
      <c r="U10" s="36" t="e">
        <f ca="1" t="shared" si="0"/>
        <v>#REF!</v>
      </c>
    </row>
    <row r="11" spans="1:21" ht="15">
      <c r="A11" s="96"/>
      <c r="B11" s="96"/>
      <c r="D11" s="30">
        <f t="shared" si="1"/>
        <v>2.5882352941176467</v>
      </c>
      <c r="E11">
        <f>COUNTIF(Vertices[Degree],"&gt;= "&amp;D11)-COUNTIF(Vertices[Degree],"&gt;="&amp;D12)</f>
        <v>0</v>
      </c>
      <c r="F11" s="37">
        <f t="shared" si="2"/>
        <v>0</v>
      </c>
      <c r="G11" s="38">
        <f>COUNTIF(Vertices[In-Degree],"&gt;= "&amp;F11)-COUNTIF(Vertices[In-Degree],"&gt;="&amp;F12)</f>
        <v>0</v>
      </c>
      <c r="H11" s="37">
        <f t="shared" si="3"/>
        <v>0</v>
      </c>
      <c r="I11" s="38">
        <f>COUNTIF(Vertices[Out-Degree],"&gt;= "&amp;H11)-COUNTIF(Vertices[Out-Degree],"&gt;="&amp;H12)</f>
        <v>0</v>
      </c>
      <c r="J11" s="37">
        <f t="shared" si="4"/>
        <v>69.43235294117649</v>
      </c>
      <c r="K11" s="38">
        <f>COUNTIF(Vertices[Betweenness Centrality],"&gt;= "&amp;J11)-COUNTIF(Vertices[Betweenness Centrality],"&gt;="&amp;J12)</f>
        <v>0</v>
      </c>
      <c r="L11" s="37">
        <f t="shared" si="5"/>
        <v>0.29747188235294103</v>
      </c>
      <c r="M11" s="38">
        <f>COUNTIF(Vertices[Closeness Centrality],"&gt;= "&amp;L11)-COUNTIF(Vertices[Closeness Centrality],"&gt;="&amp;L12)</f>
        <v>1</v>
      </c>
      <c r="N11" s="37">
        <f t="shared" si="6"/>
        <v>0.11058497058823528</v>
      </c>
      <c r="O11" s="38">
        <f>COUNTIF(Vertices[Eigenvector Centrality],"&gt;= "&amp;N11)-COUNTIF(Vertices[Eigenvector Centrality],"&gt;="&amp;N12)</f>
        <v>1</v>
      </c>
      <c r="P11" s="37">
        <f t="shared" si="7"/>
        <v>0.03384026470588236</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2.7647058823529407</v>
      </c>
      <c r="E12">
        <f>COUNTIF(Vertices[Degree],"&gt;= "&amp;D12)-COUNTIF(Vertices[Degree],"&gt;="&amp;D13)</f>
        <v>0</v>
      </c>
      <c r="F12" s="35">
        <f t="shared" si="2"/>
        <v>0</v>
      </c>
      <c r="G12" s="36">
        <f>COUNTIF(Vertices[In-Degree],"&gt;= "&amp;F12)-COUNTIF(Vertices[In-Degree],"&gt;="&amp;F13)</f>
        <v>0</v>
      </c>
      <c r="H12" s="35">
        <f t="shared" si="3"/>
        <v>0</v>
      </c>
      <c r="I12" s="36">
        <f>COUNTIF(Vertices[Out-Degree],"&gt;= "&amp;H12)-COUNTIF(Vertices[Out-Degree],"&gt;="&amp;H13)</f>
        <v>0</v>
      </c>
      <c r="J12" s="35">
        <f t="shared" si="4"/>
        <v>77.14705882352943</v>
      </c>
      <c r="K12" s="36">
        <f>COUNTIF(Vertices[Betweenness Centrality],"&gt;= "&amp;J12)-COUNTIF(Vertices[Betweenness Centrality],"&gt;="&amp;J13)</f>
        <v>0</v>
      </c>
      <c r="L12" s="35">
        <f t="shared" si="5"/>
        <v>0.30393364705882336</v>
      </c>
      <c r="M12" s="36">
        <f>COUNTIF(Vertices[Closeness Centrality],"&gt;= "&amp;L12)-COUNTIF(Vertices[Closeness Centrality],"&gt;="&amp;L13)</f>
        <v>0</v>
      </c>
      <c r="N12" s="35">
        <f t="shared" si="6"/>
        <v>0.12084941176470587</v>
      </c>
      <c r="O12" s="36">
        <f>COUNTIF(Vertices[Eigenvector Centrality],"&gt;= "&amp;N12)-COUNTIF(Vertices[Eigenvector Centrality],"&gt;="&amp;N13)</f>
        <v>0</v>
      </c>
      <c r="P12" s="35">
        <f t="shared" si="7"/>
        <v>0.03423929411764707</v>
      </c>
      <c r="Q12" s="36">
        <f>COUNTIF(Vertices[PageRank],"&gt;= "&amp;P12)-COUNTIF(Vertices[PageRank],"&gt;="&amp;P13)</f>
        <v>2</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2.9411764705882346</v>
      </c>
      <c r="E13">
        <f>COUNTIF(Vertices[Degree],"&gt;= "&amp;D13)-COUNTIF(Vertices[Degree],"&gt;="&amp;D14)</f>
        <v>11</v>
      </c>
      <c r="F13" s="37">
        <f t="shared" si="2"/>
        <v>0</v>
      </c>
      <c r="G13" s="38">
        <f>COUNTIF(Vertices[In-Degree],"&gt;= "&amp;F13)-COUNTIF(Vertices[In-Degree],"&gt;="&amp;F14)</f>
        <v>0</v>
      </c>
      <c r="H13" s="37">
        <f t="shared" si="3"/>
        <v>0</v>
      </c>
      <c r="I13" s="38">
        <f>COUNTIF(Vertices[Out-Degree],"&gt;= "&amp;H13)-COUNTIF(Vertices[Out-Degree],"&gt;="&amp;H14)</f>
        <v>0</v>
      </c>
      <c r="J13" s="37">
        <f t="shared" si="4"/>
        <v>84.86176470588238</v>
      </c>
      <c r="K13" s="38">
        <f>COUNTIF(Vertices[Betweenness Centrality],"&gt;= "&amp;J13)-COUNTIF(Vertices[Betweenness Centrality],"&gt;="&amp;J14)</f>
        <v>2</v>
      </c>
      <c r="L13" s="37">
        <f t="shared" si="5"/>
        <v>0.3103954117647057</v>
      </c>
      <c r="M13" s="38">
        <f>COUNTIF(Vertices[Closeness Centrality],"&gt;= "&amp;L13)-COUNTIF(Vertices[Closeness Centrality],"&gt;="&amp;L14)</f>
        <v>2</v>
      </c>
      <c r="N13" s="37">
        <f t="shared" si="6"/>
        <v>0.13111385294117647</v>
      </c>
      <c r="O13" s="38">
        <f>COUNTIF(Vertices[Eigenvector Centrality],"&gt;= "&amp;N13)-COUNTIF(Vertices[Eigenvector Centrality],"&gt;="&amp;N14)</f>
        <v>1</v>
      </c>
      <c r="P13" s="37">
        <f t="shared" si="7"/>
        <v>0.03463832352941178</v>
      </c>
      <c r="Q13" s="38">
        <f>COUNTIF(Vertices[PageRank],"&gt;= "&amp;P13)-COUNTIF(Vertices[PageRank],"&gt;="&amp;P14)</f>
        <v>1</v>
      </c>
      <c r="R13" s="37">
        <f t="shared" si="8"/>
        <v>0.16176470588235295</v>
      </c>
      <c r="S13" s="42">
        <f>COUNTIF(Vertices[Clustering Coefficient],"&gt;= "&amp;R13)-COUNTIF(Vertices[Clustering Coefficient],"&gt;="&amp;R14)</f>
        <v>1</v>
      </c>
      <c r="T13" s="37" t="e">
        <f ca="1" t="shared" si="9"/>
        <v>#REF!</v>
      </c>
      <c r="U13" s="38" t="e">
        <f ca="1" t="shared" si="0"/>
        <v>#REF!</v>
      </c>
    </row>
    <row r="14" spans="1:21" ht="15">
      <c r="A14" s="96"/>
      <c r="B14" s="96"/>
      <c r="D14" s="30">
        <f t="shared" si="1"/>
        <v>3.1176470588235285</v>
      </c>
      <c r="E14">
        <f>COUNTIF(Vertices[Degree],"&gt;= "&amp;D14)-COUNTIF(Vertices[Degree],"&gt;="&amp;D15)</f>
        <v>0</v>
      </c>
      <c r="F14" s="35">
        <f t="shared" si="2"/>
        <v>0</v>
      </c>
      <c r="G14" s="36">
        <f>COUNTIF(Vertices[In-Degree],"&gt;= "&amp;F14)-COUNTIF(Vertices[In-Degree],"&gt;="&amp;F15)</f>
        <v>0</v>
      </c>
      <c r="H14" s="35">
        <f t="shared" si="3"/>
        <v>0</v>
      </c>
      <c r="I14" s="36">
        <f>COUNTIF(Vertices[Out-Degree],"&gt;= "&amp;H14)-COUNTIF(Vertices[Out-Degree],"&gt;="&amp;H15)</f>
        <v>0</v>
      </c>
      <c r="J14" s="35">
        <f t="shared" si="4"/>
        <v>92.57647058823532</v>
      </c>
      <c r="K14" s="36">
        <f>COUNTIF(Vertices[Betweenness Centrality],"&gt;= "&amp;J14)-COUNTIF(Vertices[Betweenness Centrality],"&gt;="&amp;J15)</f>
        <v>1</v>
      </c>
      <c r="L14" s="35">
        <f t="shared" si="5"/>
        <v>0.31685717647058803</v>
      </c>
      <c r="M14" s="36">
        <f>COUNTIF(Vertices[Closeness Centrality],"&gt;= "&amp;L14)-COUNTIF(Vertices[Closeness Centrality],"&gt;="&amp;L15)</f>
        <v>3</v>
      </c>
      <c r="N14" s="35">
        <f t="shared" si="6"/>
        <v>0.14137829411764707</v>
      </c>
      <c r="O14" s="36">
        <f>COUNTIF(Vertices[Eigenvector Centrality],"&gt;= "&amp;N14)-COUNTIF(Vertices[Eigenvector Centrality],"&gt;="&amp;N15)</f>
        <v>2</v>
      </c>
      <c r="P14" s="35">
        <f t="shared" si="7"/>
        <v>0.035037352941176485</v>
      </c>
      <c r="Q14" s="36">
        <f>COUNTIF(Vertices[PageRank],"&gt;= "&amp;P14)-COUNTIF(Vertices[PageRank],"&gt;="&amp;P15)</f>
        <v>2</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152</v>
      </c>
      <c r="B15" s="32">
        <v>1</v>
      </c>
      <c r="D15" s="30">
        <f t="shared" si="1"/>
        <v>3.2941176470588225</v>
      </c>
      <c r="E15">
        <f>COUNTIF(Vertices[Degree],"&gt;= "&amp;D15)-COUNTIF(Vertices[Degree],"&gt;="&amp;D16)</f>
        <v>0</v>
      </c>
      <c r="F15" s="37">
        <f t="shared" si="2"/>
        <v>0</v>
      </c>
      <c r="G15" s="38">
        <f>COUNTIF(Vertices[In-Degree],"&gt;= "&amp;F15)-COUNTIF(Vertices[In-Degree],"&gt;="&amp;F16)</f>
        <v>0</v>
      </c>
      <c r="H15" s="37">
        <f t="shared" si="3"/>
        <v>0</v>
      </c>
      <c r="I15" s="38">
        <f>COUNTIF(Vertices[Out-Degree],"&gt;= "&amp;H15)-COUNTIF(Vertices[Out-Degree],"&gt;="&amp;H16)</f>
        <v>0</v>
      </c>
      <c r="J15" s="37">
        <f t="shared" si="4"/>
        <v>100.29117647058827</v>
      </c>
      <c r="K15" s="38">
        <f>COUNTIF(Vertices[Betweenness Centrality],"&gt;= "&amp;J15)-COUNTIF(Vertices[Betweenness Centrality],"&gt;="&amp;J16)</f>
        <v>1</v>
      </c>
      <c r="L15" s="37">
        <f t="shared" si="5"/>
        <v>0.32331894117647036</v>
      </c>
      <c r="M15" s="38">
        <f>COUNTIF(Vertices[Closeness Centrality],"&gt;= "&amp;L15)-COUNTIF(Vertices[Closeness Centrality],"&gt;="&amp;L16)</f>
        <v>1</v>
      </c>
      <c r="N15" s="37">
        <f t="shared" si="6"/>
        <v>0.15164273529411768</v>
      </c>
      <c r="O15" s="38">
        <f>COUNTIF(Vertices[Eigenvector Centrality],"&gt;= "&amp;N15)-COUNTIF(Vertices[Eigenvector Centrality],"&gt;="&amp;N16)</f>
        <v>0</v>
      </c>
      <c r="P15" s="37">
        <f t="shared" si="7"/>
        <v>0.03543638235294119</v>
      </c>
      <c r="Q15" s="38">
        <f>COUNTIF(Vertices[PageRank],"&gt;= "&amp;P15)-COUNTIF(Vertices[PageRank],"&gt;="&amp;P16)</f>
        <v>3</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153</v>
      </c>
      <c r="B16" s="32">
        <v>0</v>
      </c>
      <c r="D16" s="30">
        <f t="shared" si="1"/>
        <v>3.4705882352941164</v>
      </c>
      <c r="E16">
        <f>COUNTIF(Vertices[Degree],"&gt;= "&amp;D16)-COUNTIF(Vertices[Degree],"&gt;="&amp;D17)</f>
        <v>0</v>
      </c>
      <c r="F16" s="35">
        <f t="shared" si="2"/>
        <v>0</v>
      </c>
      <c r="G16" s="36">
        <f>COUNTIF(Vertices[In-Degree],"&gt;= "&amp;F16)-COUNTIF(Vertices[In-Degree],"&gt;="&amp;F17)</f>
        <v>0</v>
      </c>
      <c r="H16" s="35">
        <f t="shared" si="3"/>
        <v>0</v>
      </c>
      <c r="I16" s="36">
        <f>COUNTIF(Vertices[Out-Degree],"&gt;= "&amp;H16)-COUNTIF(Vertices[Out-Degree],"&gt;="&amp;H17)</f>
        <v>0</v>
      </c>
      <c r="J16" s="35">
        <f t="shared" si="4"/>
        <v>108.00588235294121</v>
      </c>
      <c r="K16" s="36">
        <f>COUNTIF(Vertices[Betweenness Centrality],"&gt;= "&amp;J16)-COUNTIF(Vertices[Betweenness Centrality],"&gt;="&amp;J17)</f>
        <v>1</v>
      </c>
      <c r="L16" s="35">
        <f t="shared" si="5"/>
        <v>0.3297807058823527</v>
      </c>
      <c r="M16" s="36">
        <f>COUNTIF(Vertices[Closeness Centrality],"&gt;= "&amp;L16)-COUNTIF(Vertices[Closeness Centrality],"&gt;="&amp;L17)</f>
        <v>1</v>
      </c>
      <c r="N16" s="35">
        <f t="shared" si="6"/>
        <v>0.16190717647058828</v>
      </c>
      <c r="O16" s="36">
        <f>COUNTIF(Vertices[Eigenvector Centrality],"&gt;= "&amp;N16)-COUNTIF(Vertices[Eigenvector Centrality],"&gt;="&amp;N17)</f>
        <v>2</v>
      </c>
      <c r="P16" s="35">
        <f t="shared" si="7"/>
        <v>0.0358354117647059</v>
      </c>
      <c r="Q16" s="36">
        <f>COUNTIF(Vertices[PageRank],"&gt;= "&amp;P16)-COUNTIF(Vertices[PageRank],"&gt;="&amp;P17)</f>
        <v>1</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154</v>
      </c>
      <c r="B17" s="32">
        <v>29</v>
      </c>
      <c r="D17" s="30">
        <f t="shared" si="1"/>
        <v>3.6470588235294104</v>
      </c>
      <c r="E17">
        <f>COUNTIF(Vertices[Degree],"&gt;= "&amp;D17)-COUNTIF(Vertices[Degree],"&gt;="&amp;D18)</f>
        <v>0</v>
      </c>
      <c r="F17" s="37">
        <f t="shared" si="2"/>
        <v>0</v>
      </c>
      <c r="G17" s="38">
        <f>COUNTIF(Vertices[In-Degree],"&gt;= "&amp;F17)-COUNTIF(Vertices[In-Degree],"&gt;="&amp;F18)</f>
        <v>0</v>
      </c>
      <c r="H17" s="37">
        <f t="shared" si="3"/>
        <v>0</v>
      </c>
      <c r="I17" s="38">
        <f>COUNTIF(Vertices[Out-Degree],"&gt;= "&amp;H17)-COUNTIF(Vertices[Out-Degree],"&gt;="&amp;H18)</f>
        <v>0</v>
      </c>
      <c r="J17" s="37">
        <f t="shared" si="4"/>
        <v>115.72058823529416</v>
      </c>
      <c r="K17" s="38">
        <f>COUNTIF(Vertices[Betweenness Centrality],"&gt;= "&amp;J17)-COUNTIF(Vertices[Betweenness Centrality],"&gt;="&amp;J18)</f>
        <v>0</v>
      </c>
      <c r="L17" s="37">
        <f t="shared" si="5"/>
        <v>0.33624247058823503</v>
      </c>
      <c r="M17" s="38">
        <f>COUNTIF(Vertices[Closeness Centrality],"&gt;= "&amp;L17)-COUNTIF(Vertices[Closeness Centrality],"&gt;="&amp;L18)</f>
        <v>1</v>
      </c>
      <c r="N17" s="37">
        <f t="shared" si="6"/>
        <v>0.17217161764705888</v>
      </c>
      <c r="O17" s="38">
        <f>COUNTIF(Vertices[Eigenvector Centrality],"&gt;= "&amp;N17)-COUNTIF(Vertices[Eigenvector Centrality],"&gt;="&amp;N18)</f>
        <v>1</v>
      </c>
      <c r="P17" s="37">
        <f t="shared" si="7"/>
        <v>0.03623444117647061</v>
      </c>
      <c r="Q17" s="38">
        <f>COUNTIF(Vertices[PageRank],"&gt;= "&amp;P17)-COUNTIF(Vertices[PageRank],"&gt;="&amp;P18)</f>
        <v>1</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155</v>
      </c>
      <c r="B18" s="32">
        <v>43</v>
      </c>
      <c r="D18" s="30">
        <f t="shared" si="1"/>
        <v>3.8235294117647043</v>
      </c>
      <c r="E18">
        <f>COUNTIF(Vertices[Degree],"&gt;= "&amp;D18)-COUNTIF(Vertices[Degree],"&gt;="&amp;D19)</f>
        <v>0</v>
      </c>
      <c r="F18" s="35">
        <f t="shared" si="2"/>
        <v>0</v>
      </c>
      <c r="G18" s="36">
        <f>COUNTIF(Vertices[In-Degree],"&gt;= "&amp;F18)-COUNTIF(Vertices[In-Degree],"&gt;="&amp;F19)</f>
        <v>0</v>
      </c>
      <c r="H18" s="35">
        <f t="shared" si="3"/>
        <v>0</v>
      </c>
      <c r="I18" s="36">
        <f>COUNTIF(Vertices[Out-Degree],"&gt;= "&amp;H18)-COUNTIF(Vertices[Out-Degree],"&gt;="&amp;H19)</f>
        <v>0</v>
      </c>
      <c r="J18" s="35">
        <f t="shared" si="4"/>
        <v>123.4352941176471</v>
      </c>
      <c r="K18" s="36">
        <f>COUNTIF(Vertices[Betweenness Centrality],"&gt;= "&amp;J18)-COUNTIF(Vertices[Betweenness Centrality],"&gt;="&amp;J19)</f>
        <v>0</v>
      </c>
      <c r="L18" s="35">
        <f t="shared" si="5"/>
        <v>0.34270423529411737</v>
      </c>
      <c r="M18" s="36">
        <f>COUNTIF(Vertices[Closeness Centrality],"&gt;= "&amp;L18)-COUNTIF(Vertices[Closeness Centrality],"&gt;="&amp;L19)</f>
        <v>1</v>
      </c>
      <c r="N18" s="35">
        <f t="shared" si="6"/>
        <v>0.18243605882352948</v>
      </c>
      <c r="O18" s="36">
        <f>COUNTIF(Vertices[Eigenvector Centrality],"&gt;= "&amp;N18)-COUNTIF(Vertices[Eigenvector Centrality],"&gt;="&amp;N19)</f>
        <v>3</v>
      </c>
      <c r="P18" s="35">
        <f t="shared" si="7"/>
        <v>0.036633470588235316</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96"/>
      <c r="B19" s="96"/>
      <c r="D19" s="30">
        <f t="shared" si="1"/>
        <v>3.9999999999999982</v>
      </c>
      <c r="E19">
        <f>COUNTIF(Vertices[Degree],"&gt;= "&amp;D19)-COUNTIF(Vertices[Degree],"&gt;="&amp;D20)</f>
        <v>4</v>
      </c>
      <c r="F19" s="37">
        <f t="shared" si="2"/>
        <v>0</v>
      </c>
      <c r="G19" s="38">
        <f>COUNTIF(Vertices[In-Degree],"&gt;= "&amp;F19)-COUNTIF(Vertices[In-Degree],"&gt;="&amp;F20)</f>
        <v>0</v>
      </c>
      <c r="H19" s="37">
        <f t="shared" si="3"/>
        <v>0</v>
      </c>
      <c r="I19" s="38">
        <f>COUNTIF(Vertices[Out-Degree],"&gt;= "&amp;H19)-COUNTIF(Vertices[Out-Degree],"&gt;="&amp;H20)</f>
        <v>0</v>
      </c>
      <c r="J19" s="37">
        <f t="shared" si="4"/>
        <v>131.15000000000003</v>
      </c>
      <c r="K19" s="38">
        <f>COUNTIF(Vertices[Betweenness Centrality],"&gt;= "&amp;J19)-COUNTIF(Vertices[Betweenness Centrality],"&gt;="&amp;J20)</f>
        <v>0</v>
      </c>
      <c r="L19" s="37">
        <f t="shared" si="5"/>
        <v>0.3491659999999997</v>
      </c>
      <c r="M19" s="38">
        <f>COUNTIF(Vertices[Closeness Centrality],"&gt;= "&amp;L19)-COUNTIF(Vertices[Closeness Centrality],"&gt;="&amp;L20)</f>
        <v>1</v>
      </c>
      <c r="N19" s="37">
        <f t="shared" si="6"/>
        <v>0.19270050000000008</v>
      </c>
      <c r="O19" s="38">
        <f>COUNTIF(Vertices[Eigenvector Centrality],"&gt;= "&amp;N19)-COUNTIF(Vertices[Eigenvector Centrality],"&gt;="&amp;N20)</f>
        <v>0</v>
      </c>
      <c r="P19" s="37">
        <f t="shared" si="7"/>
        <v>0.037032500000000024</v>
      </c>
      <c r="Q19" s="38">
        <f>COUNTIF(Vertices[PageRank],"&gt;= "&amp;P19)-COUNTIF(Vertices[PageRank],"&gt;="&amp;P20)</f>
        <v>2</v>
      </c>
      <c r="R19" s="37">
        <f t="shared" si="8"/>
        <v>0.25</v>
      </c>
      <c r="S19" s="42">
        <f>COUNTIF(Vertices[Clustering Coefficient],"&gt;= "&amp;R19)-COUNTIF(Vertices[Clustering Coefficient],"&gt;="&amp;R20)</f>
        <v>0</v>
      </c>
      <c r="T19" s="37" t="e">
        <f ca="1" t="shared" si="9"/>
        <v>#REF!</v>
      </c>
      <c r="U19" s="38" t="e">
        <f ca="1" t="shared" si="0"/>
        <v>#REF!</v>
      </c>
    </row>
    <row r="20" spans="1:21" ht="15">
      <c r="A20" s="32" t="s">
        <v>156</v>
      </c>
      <c r="B20" s="32">
        <v>6</v>
      </c>
      <c r="D20" s="30">
        <f t="shared" si="1"/>
        <v>4.176470588235293</v>
      </c>
      <c r="E20">
        <f>COUNTIF(Vertices[Degree],"&gt;= "&amp;D20)-COUNTIF(Vertices[Degree],"&gt;="&amp;D21)</f>
        <v>0</v>
      </c>
      <c r="F20" s="35">
        <f t="shared" si="2"/>
        <v>0</v>
      </c>
      <c r="G20" s="36">
        <f>COUNTIF(Vertices[In-Degree],"&gt;= "&amp;F20)-COUNTIF(Vertices[In-Degree],"&gt;="&amp;F21)</f>
        <v>0</v>
      </c>
      <c r="H20" s="35">
        <f t="shared" si="3"/>
        <v>0</v>
      </c>
      <c r="I20" s="36">
        <f>COUNTIF(Vertices[Out-Degree],"&gt;= "&amp;H20)-COUNTIF(Vertices[Out-Degree],"&gt;="&amp;H21)</f>
        <v>0</v>
      </c>
      <c r="J20" s="35">
        <f t="shared" si="4"/>
        <v>138.86470588235298</v>
      </c>
      <c r="K20" s="36">
        <f>COUNTIF(Vertices[Betweenness Centrality],"&gt;= "&amp;J20)-COUNTIF(Vertices[Betweenness Centrality],"&gt;="&amp;J21)</f>
        <v>0</v>
      </c>
      <c r="L20" s="35">
        <f t="shared" si="5"/>
        <v>0.35562776470588203</v>
      </c>
      <c r="M20" s="36">
        <f>COUNTIF(Vertices[Closeness Centrality],"&gt;= "&amp;L20)-COUNTIF(Vertices[Closeness Centrality],"&gt;="&amp;L21)</f>
        <v>2</v>
      </c>
      <c r="N20" s="35">
        <f t="shared" si="6"/>
        <v>0.20296494117647068</v>
      </c>
      <c r="O20" s="36">
        <f>COUNTIF(Vertices[Eigenvector Centrality],"&gt;= "&amp;N20)-COUNTIF(Vertices[Eigenvector Centrality],"&gt;="&amp;N21)</f>
        <v>1</v>
      </c>
      <c r="P20" s="35">
        <f t="shared" si="7"/>
        <v>0.03743152941176473</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157</v>
      </c>
      <c r="B21" s="32">
        <v>2.97503</v>
      </c>
      <c r="D21" s="30">
        <f t="shared" si="1"/>
        <v>4.352941176470587</v>
      </c>
      <c r="E21">
        <f>COUNTIF(Vertices[Degree],"&gt;= "&amp;D21)-COUNTIF(Vertices[Degree],"&gt;="&amp;D22)</f>
        <v>0</v>
      </c>
      <c r="F21" s="37">
        <f t="shared" si="2"/>
        <v>0</v>
      </c>
      <c r="G21" s="38">
        <f>COUNTIF(Vertices[In-Degree],"&gt;= "&amp;F21)-COUNTIF(Vertices[In-Degree],"&gt;="&amp;F22)</f>
        <v>0</v>
      </c>
      <c r="H21" s="37">
        <f t="shared" si="3"/>
        <v>0</v>
      </c>
      <c r="I21" s="38">
        <f>COUNTIF(Vertices[Out-Degree],"&gt;= "&amp;H21)-COUNTIF(Vertices[Out-Degree],"&gt;="&amp;H22)</f>
        <v>0</v>
      </c>
      <c r="J21" s="37">
        <f t="shared" si="4"/>
        <v>146.57941176470592</v>
      </c>
      <c r="K21" s="38">
        <f>COUNTIF(Vertices[Betweenness Centrality],"&gt;= "&amp;J21)-COUNTIF(Vertices[Betweenness Centrality],"&gt;="&amp;J22)</f>
        <v>0</v>
      </c>
      <c r="L21" s="37">
        <f t="shared" si="5"/>
        <v>0.36208952941176437</v>
      </c>
      <c r="M21" s="38">
        <f>COUNTIF(Vertices[Closeness Centrality],"&gt;= "&amp;L21)-COUNTIF(Vertices[Closeness Centrality],"&gt;="&amp;L22)</f>
        <v>0</v>
      </c>
      <c r="N21" s="37">
        <f t="shared" si="6"/>
        <v>0.21322938235294128</v>
      </c>
      <c r="O21" s="38">
        <f>COUNTIF(Vertices[Eigenvector Centrality],"&gt;= "&amp;N21)-COUNTIF(Vertices[Eigenvector Centrality],"&gt;="&amp;N22)</f>
        <v>0</v>
      </c>
      <c r="P21" s="37">
        <f t="shared" si="7"/>
        <v>0.03783055882352944</v>
      </c>
      <c r="Q21" s="38">
        <f>COUNTIF(Vertices[PageRank],"&gt;= "&amp;P21)-COUNTIF(Vertices[PageRank],"&gt;="&amp;P22)</f>
        <v>1</v>
      </c>
      <c r="R21" s="37">
        <f t="shared" si="8"/>
        <v>0.27941176470588236</v>
      </c>
      <c r="S21" s="42">
        <f>COUNTIF(Vertices[Clustering Coefficient],"&gt;= "&amp;R21)-COUNTIF(Vertices[Clustering Coefficient],"&gt;="&amp;R22)</f>
        <v>0</v>
      </c>
      <c r="T21" s="37" t="e">
        <f ca="1" t="shared" si="9"/>
        <v>#REF!</v>
      </c>
      <c r="U21" s="38" t="e">
        <f ca="1" t="shared" si="0"/>
        <v>#REF!</v>
      </c>
    </row>
    <row r="22" spans="1:21" ht="15">
      <c r="A22" s="96"/>
      <c r="B22" s="96"/>
      <c r="D22" s="30">
        <f t="shared" si="1"/>
        <v>4.529411764705881</v>
      </c>
      <c r="E22">
        <f>COUNTIF(Vertices[Degree],"&gt;= "&amp;D22)-COUNTIF(Vertices[Degree],"&gt;="&amp;D23)</f>
        <v>0</v>
      </c>
      <c r="F22" s="35">
        <f t="shared" si="2"/>
        <v>0</v>
      </c>
      <c r="G22" s="36">
        <f>COUNTIF(Vertices[In-Degree],"&gt;= "&amp;F22)-COUNTIF(Vertices[In-Degree],"&gt;="&amp;F23)</f>
        <v>0</v>
      </c>
      <c r="H22" s="35">
        <f t="shared" si="3"/>
        <v>0</v>
      </c>
      <c r="I22" s="36">
        <f>COUNTIF(Vertices[Out-Degree],"&gt;= "&amp;H22)-COUNTIF(Vertices[Out-Degree],"&gt;="&amp;H23)</f>
        <v>0</v>
      </c>
      <c r="J22" s="35">
        <f t="shared" si="4"/>
        <v>154.29411764705887</v>
      </c>
      <c r="K22" s="36">
        <f>COUNTIF(Vertices[Betweenness Centrality],"&gt;= "&amp;J22)-COUNTIF(Vertices[Betweenness Centrality],"&gt;="&amp;J23)</f>
        <v>0</v>
      </c>
      <c r="L22" s="35">
        <f t="shared" si="5"/>
        <v>0.3685512941176467</v>
      </c>
      <c r="M22" s="36">
        <f>COUNTIF(Vertices[Closeness Centrality],"&gt;= "&amp;L22)-COUNTIF(Vertices[Closeness Centrality],"&gt;="&amp;L23)</f>
        <v>1</v>
      </c>
      <c r="N22" s="35">
        <f t="shared" si="6"/>
        <v>0.22349382352941188</v>
      </c>
      <c r="O22" s="36">
        <f>COUNTIF(Vertices[Eigenvector Centrality],"&gt;= "&amp;N22)-COUNTIF(Vertices[Eigenvector Centrality],"&gt;="&amp;N23)</f>
        <v>0</v>
      </c>
      <c r="P22" s="35">
        <f t="shared" si="7"/>
        <v>0.03822958823529415</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158</v>
      </c>
      <c r="B23" s="32">
        <v>0.05295566502463054</v>
      </c>
      <c r="D23" s="30">
        <f t="shared" si="1"/>
        <v>4.705882352941176</v>
      </c>
      <c r="E23">
        <f>COUNTIF(Vertices[Degree],"&gt;= "&amp;D23)-COUNTIF(Vertices[Degree],"&gt;="&amp;D24)</f>
        <v>0</v>
      </c>
      <c r="F23" s="37">
        <f t="shared" si="2"/>
        <v>0</v>
      </c>
      <c r="G23" s="38">
        <f>COUNTIF(Vertices[In-Degree],"&gt;= "&amp;F23)-COUNTIF(Vertices[In-Degree],"&gt;="&amp;F24)</f>
        <v>0</v>
      </c>
      <c r="H23" s="37">
        <f t="shared" si="3"/>
        <v>0</v>
      </c>
      <c r="I23" s="38">
        <f>COUNTIF(Vertices[Out-Degree],"&gt;= "&amp;H23)-COUNTIF(Vertices[Out-Degree],"&gt;="&amp;H24)</f>
        <v>0</v>
      </c>
      <c r="J23" s="37">
        <f t="shared" si="4"/>
        <v>162.0088235294118</v>
      </c>
      <c r="K23" s="38">
        <f>COUNTIF(Vertices[Betweenness Centrality],"&gt;= "&amp;J23)-COUNTIF(Vertices[Betweenness Centrality],"&gt;="&amp;J24)</f>
        <v>0</v>
      </c>
      <c r="L23" s="37">
        <f t="shared" si="5"/>
        <v>0.37501305882352903</v>
      </c>
      <c r="M23" s="38">
        <f>COUNTIF(Vertices[Closeness Centrality],"&gt;= "&amp;L23)-COUNTIF(Vertices[Closeness Centrality],"&gt;="&amp;L24)</f>
        <v>1</v>
      </c>
      <c r="N23" s="37">
        <f t="shared" si="6"/>
        <v>0.23375826470588248</v>
      </c>
      <c r="O23" s="38">
        <f>COUNTIF(Vertices[Eigenvector Centrality],"&gt;= "&amp;N23)-COUNTIF(Vertices[Eigenvector Centrality],"&gt;="&amp;N24)</f>
        <v>1</v>
      </c>
      <c r="P23" s="37">
        <f t="shared" si="7"/>
        <v>0.038628617647058855</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373</v>
      </c>
      <c r="B24" s="32">
        <v>0.458626</v>
      </c>
      <c r="D24" s="30">
        <f t="shared" si="1"/>
        <v>4.88235294117647</v>
      </c>
      <c r="E24">
        <f>COUNTIF(Vertices[Degree],"&gt;= "&amp;D24)-COUNTIF(Vertices[Degree],"&gt;="&amp;D25)</f>
        <v>2</v>
      </c>
      <c r="F24" s="35">
        <f t="shared" si="2"/>
        <v>0</v>
      </c>
      <c r="G24" s="36">
        <f>COUNTIF(Vertices[In-Degree],"&gt;= "&amp;F24)-COUNTIF(Vertices[In-Degree],"&gt;="&amp;F25)</f>
        <v>0</v>
      </c>
      <c r="H24" s="35">
        <f t="shared" si="3"/>
        <v>0</v>
      </c>
      <c r="I24" s="36">
        <f>COUNTIF(Vertices[Out-Degree],"&gt;= "&amp;H24)-COUNTIF(Vertices[Out-Degree],"&gt;="&amp;H25)</f>
        <v>0</v>
      </c>
      <c r="J24" s="35">
        <f t="shared" si="4"/>
        <v>169.72352941176476</v>
      </c>
      <c r="K24" s="36">
        <f>COUNTIF(Vertices[Betweenness Centrality],"&gt;= "&amp;J24)-COUNTIF(Vertices[Betweenness Centrality],"&gt;="&amp;J25)</f>
        <v>0</v>
      </c>
      <c r="L24" s="35">
        <f t="shared" si="5"/>
        <v>0.38147482352941137</v>
      </c>
      <c r="M24" s="36">
        <f>COUNTIF(Vertices[Closeness Centrality],"&gt;= "&amp;L24)-COUNTIF(Vertices[Closeness Centrality],"&gt;="&amp;L25)</f>
        <v>0</v>
      </c>
      <c r="N24" s="35">
        <f t="shared" si="6"/>
        <v>0.24402270588235309</v>
      </c>
      <c r="O24" s="36">
        <f>COUNTIF(Vertices[Eigenvector Centrality],"&gt;= "&amp;N24)-COUNTIF(Vertices[Eigenvector Centrality],"&gt;="&amp;N25)</f>
        <v>0</v>
      </c>
      <c r="P24" s="35">
        <f t="shared" si="7"/>
        <v>0.03902764705882356</v>
      </c>
      <c r="Q24" s="36">
        <f>COUNTIF(Vertices[PageRank],"&gt;= "&amp;P24)-COUNTIF(Vertices[PageRank],"&gt;="&amp;P25)</f>
        <v>0</v>
      </c>
      <c r="R24" s="35">
        <f t="shared" si="8"/>
        <v>0.3235294117647059</v>
      </c>
      <c r="S24" s="41">
        <f>COUNTIF(Vertices[Clustering Coefficient],"&gt;= "&amp;R24)-COUNTIF(Vertices[Clustering Coefficient],"&gt;="&amp;R25)</f>
        <v>1</v>
      </c>
      <c r="T24" s="35" t="e">
        <f ca="1" t="shared" si="9"/>
        <v>#REF!</v>
      </c>
      <c r="U24" s="36" t="e">
        <f ca="1" t="shared" si="0"/>
        <v>#REF!</v>
      </c>
    </row>
    <row r="25" spans="1:21" ht="15">
      <c r="A25" s="96"/>
      <c r="B25" s="96"/>
      <c r="D25" s="30">
        <f t="shared" si="1"/>
        <v>5.0588235294117645</v>
      </c>
      <c r="E25">
        <f>COUNTIF(Vertices[Degree],"&gt;= "&amp;D25)-COUNTIF(Vertices[Degree],"&gt;="&amp;D26)</f>
        <v>0</v>
      </c>
      <c r="F25" s="37">
        <f t="shared" si="2"/>
        <v>0</v>
      </c>
      <c r="G25" s="38">
        <f>COUNTIF(Vertices[In-Degree],"&gt;= "&amp;F25)-COUNTIF(Vertices[In-Degree],"&gt;="&amp;F26)</f>
        <v>0</v>
      </c>
      <c r="H25" s="37">
        <f t="shared" si="3"/>
        <v>0</v>
      </c>
      <c r="I25" s="38">
        <f>COUNTIF(Vertices[Out-Degree],"&gt;= "&amp;H25)-COUNTIF(Vertices[Out-Degree],"&gt;="&amp;H26)</f>
        <v>0</v>
      </c>
      <c r="J25" s="37">
        <f t="shared" si="4"/>
        <v>177.4382352941177</v>
      </c>
      <c r="K25" s="38">
        <f>COUNTIF(Vertices[Betweenness Centrality],"&gt;= "&amp;J25)-COUNTIF(Vertices[Betweenness Centrality],"&gt;="&amp;J26)</f>
        <v>0</v>
      </c>
      <c r="L25" s="37">
        <f t="shared" si="5"/>
        <v>0.3879365882352937</v>
      </c>
      <c r="M25" s="38">
        <f>COUNTIF(Vertices[Closeness Centrality],"&gt;= "&amp;L25)-COUNTIF(Vertices[Closeness Centrality],"&gt;="&amp;L26)</f>
        <v>2</v>
      </c>
      <c r="N25" s="37">
        <f t="shared" si="6"/>
        <v>0.25428714705882366</v>
      </c>
      <c r="O25" s="38">
        <f>COUNTIF(Vertices[Eigenvector Centrality],"&gt;= "&amp;N25)-COUNTIF(Vertices[Eigenvector Centrality],"&gt;="&amp;N26)</f>
        <v>1</v>
      </c>
      <c r="P25" s="37">
        <f t="shared" si="7"/>
        <v>0.03942667647058827</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374</v>
      </c>
      <c r="B26" s="32" t="s">
        <v>389</v>
      </c>
      <c r="D26" s="30">
        <f t="shared" si="1"/>
        <v>5.235294117647059</v>
      </c>
      <c r="E26">
        <f>COUNTIF(Vertices[Degree],"&gt;= "&amp;D26)-COUNTIF(Vertices[Degree],"&gt;="&amp;D27)</f>
        <v>0</v>
      </c>
      <c r="F26" s="35">
        <f t="shared" si="2"/>
        <v>0</v>
      </c>
      <c r="G26" s="36">
        <f>COUNTIF(Vertices[In-Degree],"&gt;= "&amp;F26)-COUNTIF(Vertices[In-Degree],"&gt;="&amp;F27)</f>
        <v>0</v>
      </c>
      <c r="H26" s="35">
        <f t="shared" si="3"/>
        <v>0</v>
      </c>
      <c r="I26" s="36">
        <f>COUNTIF(Vertices[Out-Degree],"&gt;= "&amp;H26)-COUNTIF(Vertices[Out-Degree],"&gt;="&amp;H27)</f>
        <v>0</v>
      </c>
      <c r="J26" s="35">
        <f t="shared" si="4"/>
        <v>185.15294117647065</v>
      </c>
      <c r="K26" s="36">
        <f>COUNTIF(Vertices[Betweenness Centrality],"&gt;= "&amp;J26)-COUNTIF(Vertices[Betweenness Centrality],"&gt;="&amp;J27)</f>
        <v>0</v>
      </c>
      <c r="L26" s="35">
        <f t="shared" si="5"/>
        <v>0.39439835294117603</v>
      </c>
      <c r="M26" s="36">
        <f>COUNTIF(Vertices[Closeness Centrality],"&gt;= "&amp;L26)-COUNTIF(Vertices[Closeness Centrality],"&gt;="&amp;L27)</f>
        <v>0</v>
      </c>
      <c r="N26" s="35">
        <f t="shared" si="6"/>
        <v>0.26455158823529423</v>
      </c>
      <c r="O26" s="36">
        <f>COUNTIF(Vertices[Eigenvector Centrality],"&gt;= "&amp;N26)-COUNTIF(Vertices[Eigenvector Centrality],"&gt;="&amp;N27)</f>
        <v>0</v>
      </c>
      <c r="P26" s="35">
        <f t="shared" si="7"/>
        <v>0.03982570588235298</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96"/>
      <c r="B27" s="96"/>
      <c r="D27" s="30">
        <f t="shared" si="1"/>
        <v>5.411764705882353</v>
      </c>
      <c r="E27">
        <f>COUNTIF(Vertices[Degree],"&gt;= "&amp;D27)-COUNTIF(Vertices[Degree],"&gt;="&amp;D28)</f>
        <v>0</v>
      </c>
      <c r="F27" s="37">
        <f t="shared" si="2"/>
        <v>0</v>
      </c>
      <c r="G27" s="38">
        <f>COUNTIF(Vertices[In-Degree],"&gt;= "&amp;F27)-COUNTIF(Vertices[In-Degree],"&gt;="&amp;F28)</f>
        <v>0</v>
      </c>
      <c r="H27" s="37">
        <f t="shared" si="3"/>
        <v>0</v>
      </c>
      <c r="I27" s="38">
        <f>COUNTIF(Vertices[Out-Degree],"&gt;= "&amp;H27)-COUNTIF(Vertices[Out-Degree],"&gt;="&amp;H28)</f>
        <v>0</v>
      </c>
      <c r="J27" s="37">
        <f t="shared" si="4"/>
        <v>192.8676470588236</v>
      </c>
      <c r="K27" s="38">
        <f>COUNTIF(Vertices[Betweenness Centrality],"&gt;= "&amp;J27)-COUNTIF(Vertices[Betweenness Centrality],"&gt;="&amp;J28)</f>
        <v>2</v>
      </c>
      <c r="L27" s="37">
        <f t="shared" si="5"/>
        <v>0.40086011764705837</v>
      </c>
      <c r="M27" s="38">
        <f>COUNTIF(Vertices[Closeness Centrality],"&gt;= "&amp;L27)-COUNTIF(Vertices[Closeness Centrality],"&gt;="&amp;L28)</f>
        <v>1</v>
      </c>
      <c r="N27" s="37">
        <f t="shared" si="6"/>
        <v>0.2748160294117648</v>
      </c>
      <c r="O27" s="38">
        <f>COUNTIF(Vertices[Eigenvector Centrality],"&gt;= "&amp;N27)-COUNTIF(Vertices[Eigenvector Centrality],"&gt;="&amp;N28)</f>
        <v>0</v>
      </c>
      <c r="P27" s="37">
        <f t="shared" si="7"/>
        <v>0.040224735294117686</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375</v>
      </c>
      <c r="B28" s="32" t="s">
        <v>410</v>
      </c>
      <c r="D28" s="30">
        <f t="shared" si="1"/>
        <v>5.588235294117648</v>
      </c>
      <c r="E28">
        <f>COUNTIF(Vertices[Degree],"&gt;= "&amp;D28)-COUNTIF(Vertices[Degree],"&gt;="&amp;D29)</f>
        <v>0</v>
      </c>
      <c r="F28" s="35">
        <f t="shared" si="2"/>
        <v>0</v>
      </c>
      <c r="G28" s="36">
        <f>COUNTIF(Vertices[In-Degree],"&gt;= "&amp;F28)-COUNTIF(Vertices[In-Degree],"&gt;="&amp;F29)</f>
        <v>0</v>
      </c>
      <c r="H28" s="35">
        <f t="shared" si="3"/>
        <v>0</v>
      </c>
      <c r="I28" s="36">
        <f>COUNTIF(Vertices[Out-Degree],"&gt;= "&amp;H28)-COUNTIF(Vertices[Out-Degree],"&gt;="&amp;H29)</f>
        <v>0</v>
      </c>
      <c r="J28" s="35">
        <f t="shared" si="4"/>
        <v>200.58235294117654</v>
      </c>
      <c r="K28" s="36">
        <f>COUNTIF(Vertices[Betweenness Centrality],"&gt;= "&amp;J28)-COUNTIF(Vertices[Betweenness Centrality],"&gt;="&amp;J29)</f>
        <v>0</v>
      </c>
      <c r="L28" s="35">
        <f t="shared" si="5"/>
        <v>0.4073218823529407</v>
      </c>
      <c r="M28" s="36">
        <f>COUNTIF(Vertices[Closeness Centrality],"&gt;= "&amp;L28)-COUNTIF(Vertices[Closeness Centrality],"&gt;="&amp;L29)</f>
        <v>0</v>
      </c>
      <c r="N28" s="35">
        <f t="shared" si="6"/>
        <v>0.2850804705882354</v>
      </c>
      <c r="O28" s="36">
        <f>COUNTIF(Vertices[Eigenvector Centrality],"&gt;= "&amp;N28)-COUNTIF(Vertices[Eigenvector Centrality],"&gt;="&amp;N29)</f>
        <v>0</v>
      </c>
      <c r="P28" s="35">
        <f t="shared" si="7"/>
        <v>0.040623764705882394</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376</v>
      </c>
      <c r="B29" s="32" t="s">
        <v>411</v>
      </c>
      <c r="D29" s="30">
        <f t="shared" si="1"/>
        <v>5.764705882352942</v>
      </c>
      <c r="E29">
        <f>COUNTIF(Vertices[Degree],"&gt;= "&amp;D29)-COUNTIF(Vertices[Degree],"&gt;="&amp;D30)</f>
        <v>0</v>
      </c>
      <c r="F29" s="37">
        <f t="shared" si="2"/>
        <v>0</v>
      </c>
      <c r="G29" s="38">
        <f>COUNTIF(Vertices[In-Degree],"&gt;= "&amp;F29)-COUNTIF(Vertices[In-Degree],"&gt;="&amp;F30)</f>
        <v>0</v>
      </c>
      <c r="H29" s="37">
        <f t="shared" si="3"/>
        <v>0</v>
      </c>
      <c r="I29" s="38">
        <f>COUNTIF(Vertices[Out-Degree],"&gt;= "&amp;H29)-COUNTIF(Vertices[Out-Degree],"&gt;="&amp;H30)</f>
        <v>0</v>
      </c>
      <c r="J29" s="37">
        <f t="shared" si="4"/>
        <v>208.29705882352948</v>
      </c>
      <c r="K29" s="38">
        <f>COUNTIF(Vertices[Betweenness Centrality],"&gt;= "&amp;J29)-COUNTIF(Vertices[Betweenness Centrality],"&gt;="&amp;J30)</f>
        <v>0</v>
      </c>
      <c r="L29" s="37">
        <f t="shared" si="5"/>
        <v>0.41378364705882303</v>
      </c>
      <c r="M29" s="38">
        <f>COUNTIF(Vertices[Closeness Centrality],"&gt;= "&amp;L29)-COUNTIF(Vertices[Closeness Centrality],"&gt;="&amp;L30)</f>
        <v>0</v>
      </c>
      <c r="N29" s="37">
        <f t="shared" si="6"/>
        <v>0.29534491176470595</v>
      </c>
      <c r="O29" s="38">
        <f>COUNTIF(Vertices[Eigenvector Centrality],"&gt;= "&amp;N29)-COUNTIF(Vertices[Eigenvector Centrality],"&gt;="&amp;N30)</f>
        <v>0</v>
      </c>
      <c r="P29" s="37">
        <f t="shared" si="7"/>
        <v>0.0410227941176471</v>
      </c>
      <c r="Q29" s="38">
        <f>COUNTIF(Vertices[PageRank],"&gt;= "&amp;P29)-COUNTIF(Vertices[PageRank],"&gt;="&amp;P30)</f>
        <v>1</v>
      </c>
      <c r="R29" s="37">
        <f t="shared" si="8"/>
        <v>0.3970588235294118</v>
      </c>
      <c r="S29" s="42">
        <f>COUNTIF(Vertices[Clustering Coefficient],"&gt;= "&amp;R29)-COUNTIF(Vertices[Clustering Coefficient],"&gt;="&amp;R30)</f>
        <v>0</v>
      </c>
      <c r="T29" s="37" t="e">
        <f ca="1" t="shared" si="9"/>
        <v>#REF!</v>
      </c>
      <c r="U29" s="38" t="e">
        <f ca="1" t="shared" si="10"/>
        <v>#REF!</v>
      </c>
    </row>
    <row r="30" spans="1:21" ht="15">
      <c r="A30" s="96"/>
      <c r="B30" s="96"/>
      <c r="D30" s="30">
        <f t="shared" si="1"/>
        <v>5.941176470588236</v>
      </c>
      <c r="E30">
        <f>COUNTIF(Vertices[Degree],"&gt;= "&amp;D30)-COUNTIF(Vertices[Degree],"&gt;="&amp;D31)</f>
        <v>1</v>
      </c>
      <c r="F30" s="35">
        <f t="shared" si="2"/>
        <v>0</v>
      </c>
      <c r="G30" s="36">
        <f>COUNTIF(Vertices[In-Degree],"&gt;= "&amp;F30)-COUNTIF(Vertices[In-Degree],"&gt;="&amp;F31)</f>
        <v>0</v>
      </c>
      <c r="H30" s="35">
        <f t="shared" si="3"/>
        <v>0</v>
      </c>
      <c r="I30" s="36">
        <f>COUNTIF(Vertices[Out-Degree],"&gt;= "&amp;H30)-COUNTIF(Vertices[Out-Degree],"&gt;="&amp;H31)</f>
        <v>0</v>
      </c>
      <c r="J30" s="35">
        <f t="shared" si="4"/>
        <v>216.01176470588243</v>
      </c>
      <c r="K30" s="36">
        <f>COUNTIF(Vertices[Betweenness Centrality],"&gt;= "&amp;J30)-COUNTIF(Vertices[Betweenness Centrality],"&gt;="&amp;J31)</f>
        <v>0</v>
      </c>
      <c r="L30" s="35">
        <f t="shared" si="5"/>
        <v>0.42024541176470537</v>
      </c>
      <c r="M30" s="36">
        <f>COUNTIF(Vertices[Closeness Centrality],"&gt;= "&amp;L30)-COUNTIF(Vertices[Closeness Centrality],"&gt;="&amp;L31)</f>
        <v>1</v>
      </c>
      <c r="N30" s="35">
        <f t="shared" si="6"/>
        <v>0.3056093529411765</v>
      </c>
      <c r="O30" s="36">
        <f>COUNTIF(Vertices[Eigenvector Centrality],"&gt;= "&amp;N30)-COUNTIF(Vertices[Eigenvector Centrality],"&gt;="&amp;N31)</f>
        <v>0</v>
      </c>
      <c r="P30" s="35">
        <f t="shared" si="7"/>
        <v>0.04142182352941181</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377</v>
      </c>
      <c r="B31" s="32"/>
      <c r="D31" s="30">
        <f t="shared" si="1"/>
        <v>6.117647058823531</v>
      </c>
      <c r="E31">
        <f>COUNTIF(Vertices[Degree],"&gt;= "&amp;D31)-COUNTIF(Vertices[Degree],"&gt;="&amp;D32)</f>
        <v>0</v>
      </c>
      <c r="F31" s="37">
        <f t="shared" si="2"/>
        <v>0</v>
      </c>
      <c r="G31" s="38">
        <f>COUNTIF(Vertices[In-Degree],"&gt;= "&amp;F31)-COUNTIF(Vertices[In-Degree],"&gt;="&amp;F32)</f>
        <v>0</v>
      </c>
      <c r="H31" s="37">
        <f t="shared" si="3"/>
        <v>0</v>
      </c>
      <c r="I31" s="38">
        <f>COUNTIF(Vertices[Out-Degree],"&gt;= "&amp;H31)-COUNTIF(Vertices[Out-Degree],"&gt;="&amp;H32)</f>
        <v>0</v>
      </c>
      <c r="J31" s="37">
        <f t="shared" si="4"/>
        <v>223.72647058823537</v>
      </c>
      <c r="K31" s="38">
        <f>COUNTIF(Vertices[Betweenness Centrality],"&gt;= "&amp;J31)-COUNTIF(Vertices[Betweenness Centrality],"&gt;="&amp;J32)</f>
        <v>0</v>
      </c>
      <c r="L31" s="37">
        <f t="shared" si="5"/>
        <v>0.4267071764705877</v>
      </c>
      <c r="M31" s="38">
        <f>COUNTIF(Vertices[Closeness Centrality],"&gt;= "&amp;L31)-COUNTIF(Vertices[Closeness Centrality],"&gt;="&amp;L32)</f>
        <v>0</v>
      </c>
      <c r="N31" s="37">
        <f t="shared" si="6"/>
        <v>0.3158737941176471</v>
      </c>
      <c r="O31" s="38">
        <f>COUNTIF(Vertices[Eigenvector Centrality],"&gt;= "&amp;N31)-COUNTIF(Vertices[Eigenvector Centrality],"&gt;="&amp;N32)</f>
        <v>0</v>
      </c>
      <c r="P31" s="37">
        <f t="shared" si="7"/>
        <v>0.04182085294117652</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378</v>
      </c>
      <c r="B32" s="32"/>
      <c r="D32" s="30">
        <f t="shared" si="1"/>
        <v>6.294117647058825</v>
      </c>
      <c r="E32">
        <f>COUNTIF(Vertices[Degree],"&gt;= "&amp;D32)-COUNTIF(Vertices[Degree],"&gt;="&amp;D33)</f>
        <v>0</v>
      </c>
      <c r="F32" s="35">
        <f t="shared" si="2"/>
        <v>0</v>
      </c>
      <c r="G32" s="36">
        <f>COUNTIF(Vertices[In-Degree],"&gt;= "&amp;F32)-COUNTIF(Vertices[In-Degree],"&gt;="&amp;F33)</f>
        <v>0</v>
      </c>
      <c r="H32" s="35">
        <f t="shared" si="3"/>
        <v>0</v>
      </c>
      <c r="I32" s="36">
        <f>COUNTIF(Vertices[Out-Degree],"&gt;= "&amp;H32)-COUNTIF(Vertices[Out-Degree],"&gt;="&amp;H33)</f>
        <v>0</v>
      </c>
      <c r="J32" s="35">
        <f t="shared" si="4"/>
        <v>231.44117647058832</v>
      </c>
      <c r="K32" s="36">
        <f>COUNTIF(Vertices[Betweenness Centrality],"&gt;= "&amp;J32)-COUNTIF(Vertices[Betweenness Centrality],"&gt;="&amp;J33)</f>
        <v>0</v>
      </c>
      <c r="L32" s="35">
        <f t="shared" si="5"/>
        <v>0.43316894117647003</v>
      </c>
      <c r="M32" s="36">
        <f>COUNTIF(Vertices[Closeness Centrality],"&gt;= "&amp;L32)-COUNTIF(Vertices[Closeness Centrality],"&gt;="&amp;L33)</f>
        <v>0</v>
      </c>
      <c r="N32" s="35">
        <f t="shared" si="6"/>
        <v>0.3261382352941177</v>
      </c>
      <c r="O32" s="36">
        <f>COUNTIF(Vertices[Eigenvector Centrality],"&gt;= "&amp;N32)-COUNTIF(Vertices[Eigenvector Centrality],"&gt;="&amp;N33)</f>
        <v>0</v>
      </c>
      <c r="P32" s="35">
        <f t="shared" si="7"/>
        <v>0.042219882352941225</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379</v>
      </c>
      <c r="B33" s="32"/>
      <c r="D33" s="30">
        <f t="shared" si="1"/>
        <v>6.4705882352941195</v>
      </c>
      <c r="E33">
        <f>COUNTIF(Vertices[Degree],"&gt;= "&amp;D33)-COUNTIF(Vertices[Degree],"&gt;="&amp;D34)</f>
        <v>0</v>
      </c>
      <c r="F33" s="37">
        <f t="shared" si="2"/>
        <v>0</v>
      </c>
      <c r="G33" s="38">
        <f>COUNTIF(Vertices[In-Degree],"&gt;= "&amp;F33)-COUNTIF(Vertices[In-Degree],"&gt;="&amp;F34)</f>
        <v>0</v>
      </c>
      <c r="H33" s="37">
        <f t="shared" si="3"/>
        <v>0</v>
      </c>
      <c r="I33" s="38">
        <f>COUNTIF(Vertices[Out-Degree],"&gt;= "&amp;H33)-COUNTIF(Vertices[Out-Degree],"&gt;="&amp;H34)</f>
        <v>0</v>
      </c>
      <c r="J33" s="37">
        <f t="shared" si="4"/>
        <v>239.15588235294126</v>
      </c>
      <c r="K33" s="38">
        <f>COUNTIF(Vertices[Betweenness Centrality],"&gt;= "&amp;J33)-COUNTIF(Vertices[Betweenness Centrality],"&gt;="&amp;J34)</f>
        <v>0</v>
      </c>
      <c r="L33" s="37">
        <f t="shared" si="5"/>
        <v>0.43963070588235237</v>
      </c>
      <c r="M33" s="38">
        <f>COUNTIF(Vertices[Closeness Centrality],"&gt;= "&amp;L33)-COUNTIF(Vertices[Closeness Centrality],"&gt;="&amp;L34)</f>
        <v>0</v>
      </c>
      <c r="N33" s="37">
        <f t="shared" si="6"/>
        <v>0.33640267647058825</v>
      </c>
      <c r="O33" s="38">
        <f>COUNTIF(Vertices[Eigenvector Centrality],"&gt;= "&amp;N33)-COUNTIF(Vertices[Eigenvector Centrality],"&gt;="&amp;N34)</f>
        <v>0</v>
      </c>
      <c r="P33" s="37">
        <f t="shared" si="7"/>
        <v>0.04261891176470593</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380</v>
      </c>
      <c r="B34" s="32" t="s">
        <v>406</v>
      </c>
      <c r="D34" s="30">
        <f t="shared" si="1"/>
        <v>6.647058823529414</v>
      </c>
      <c r="E34">
        <f>COUNTIF(Vertices[Degree],"&gt;= "&amp;D34)-COUNTIF(Vertices[Degree],"&gt;="&amp;D35)</f>
        <v>0</v>
      </c>
      <c r="F34" s="35">
        <f t="shared" si="2"/>
        <v>0</v>
      </c>
      <c r="G34" s="36">
        <f>COUNTIF(Vertices[In-Degree],"&gt;= "&amp;F34)-COUNTIF(Vertices[In-Degree],"&gt;="&amp;F35)</f>
        <v>0</v>
      </c>
      <c r="H34" s="35">
        <f t="shared" si="3"/>
        <v>0</v>
      </c>
      <c r="I34" s="36">
        <f>COUNTIF(Vertices[Out-Degree],"&gt;= "&amp;H34)-COUNTIF(Vertices[Out-Degree],"&gt;="&amp;H35)</f>
        <v>0</v>
      </c>
      <c r="J34" s="35">
        <f t="shared" si="4"/>
        <v>246.8705882352942</v>
      </c>
      <c r="K34" s="36">
        <f>COUNTIF(Vertices[Betweenness Centrality],"&gt;= "&amp;J34)-COUNTIF(Vertices[Betweenness Centrality],"&gt;="&amp;J35)</f>
        <v>0</v>
      </c>
      <c r="L34" s="35">
        <f t="shared" si="5"/>
        <v>0.4460924705882347</v>
      </c>
      <c r="M34" s="36">
        <f>COUNTIF(Vertices[Closeness Centrality],"&gt;= "&amp;L34)-COUNTIF(Vertices[Closeness Centrality],"&gt;="&amp;L35)</f>
        <v>1</v>
      </c>
      <c r="N34" s="35">
        <f t="shared" si="6"/>
        <v>0.3466671176470588</v>
      </c>
      <c r="O34" s="36">
        <f>COUNTIF(Vertices[Eigenvector Centrality],"&gt;= "&amp;N34)-COUNTIF(Vertices[Eigenvector Centrality],"&gt;="&amp;N35)</f>
        <v>1</v>
      </c>
      <c r="P34" s="35">
        <f t="shared" si="7"/>
        <v>0.04301794117647064</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381</v>
      </c>
      <c r="B35" s="32" t="s">
        <v>390</v>
      </c>
      <c r="D35" s="30">
        <f t="shared" si="1"/>
        <v>6.823529411764708</v>
      </c>
      <c r="E35">
        <f>COUNTIF(Vertices[Degree],"&gt;= "&amp;D35)-COUNTIF(Vertices[Degree],"&gt;="&amp;D36)</f>
        <v>0</v>
      </c>
      <c r="F35" s="37">
        <f t="shared" si="2"/>
        <v>0</v>
      </c>
      <c r="G35" s="38">
        <f>COUNTIF(Vertices[In-Degree],"&gt;= "&amp;F35)-COUNTIF(Vertices[In-Degree],"&gt;="&amp;F36)</f>
        <v>0</v>
      </c>
      <c r="H35" s="37">
        <f t="shared" si="3"/>
        <v>0</v>
      </c>
      <c r="I35" s="38">
        <f>COUNTIF(Vertices[Out-Degree],"&gt;= "&amp;H35)-COUNTIF(Vertices[Out-Degree],"&gt;="&amp;H36)</f>
        <v>0</v>
      </c>
      <c r="J35" s="37">
        <f t="shared" si="4"/>
        <v>254.58529411764715</v>
      </c>
      <c r="K35" s="38">
        <f>COUNTIF(Vertices[Betweenness Centrality],"&gt;= "&amp;J35)-COUNTIF(Vertices[Betweenness Centrality],"&gt;="&amp;J36)</f>
        <v>0</v>
      </c>
      <c r="L35" s="37">
        <f t="shared" si="5"/>
        <v>0.45255423529411704</v>
      </c>
      <c r="M35" s="38">
        <f>COUNTIF(Vertices[Closeness Centrality],"&gt;= "&amp;L35)-COUNTIF(Vertices[Closeness Centrality],"&gt;="&amp;L36)</f>
        <v>0</v>
      </c>
      <c r="N35" s="37">
        <f t="shared" si="6"/>
        <v>0.3569315588235294</v>
      </c>
      <c r="O35" s="38">
        <f>COUNTIF(Vertices[Eigenvector Centrality],"&gt;= "&amp;N35)-COUNTIF(Vertices[Eigenvector Centrality],"&gt;="&amp;N36)</f>
        <v>2</v>
      </c>
      <c r="P35" s="37">
        <f t="shared" si="7"/>
        <v>0.04341697058823535</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382</v>
      </c>
      <c r="B36" s="32" t="s">
        <v>283</v>
      </c>
      <c r="D36" s="30">
        <f>MAX(Vertices[Degree])</f>
        <v>7</v>
      </c>
      <c r="E36">
        <f>COUNTIF(Vertices[Degree],"&gt;= "&amp;D36)-COUNTIF(Vertices[Degree],"&gt;="&amp;#REF!)</f>
        <v>1</v>
      </c>
      <c r="F36" s="39">
        <f>MAX(Vertices[In-Degree])</f>
        <v>0</v>
      </c>
      <c r="G36" s="40">
        <f>COUNTIF(Vertices[In-Degree],"&gt;= "&amp;F36)-COUNTIF(Vertices[In-Degree],"&gt;="&amp;#REF!)</f>
        <v>0</v>
      </c>
      <c r="H36" s="39">
        <f>MAX(Vertices[Out-Degree])</f>
        <v>0</v>
      </c>
      <c r="I36" s="40">
        <f>COUNTIF(Vertices[Out-Degree],"&gt;= "&amp;H36)-COUNTIF(Vertices[Out-Degree],"&gt;="&amp;#REF!)</f>
        <v>0</v>
      </c>
      <c r="J36" s="39">
        <f>MAX(Vertices[Betweenness Centrality])</f>
        <v>262.3</v>
      </c>
      <c r="K36" s="40">
        <f>COUNTIF(Vertices[Betweenness Centrality],"&gt;= "&amp;J36)-COUNTIF(Vertices[Betweenness Centrality],"&gt;="&amp;#REF!)</f>
        <v>1</v>
      </c>
      <c r="L36" s="39">
        <f>MAX(Vertices[Closeness Centrality])</f>
        <v>0.459016</v>
      </c>
      <c r="M36" s="40">
        <f>COUNTIF(Vertices[Closeness Centrality],"&gt;= "&amp;L36)-COUNTIF(Vertices[Closeness Centrality],"&gt;="&amp;#REF!)</f>
        <v>1</v>
      </c>
      <c r="N36" s="39">
        <f>MAX(Vertices[Eigenvector Centrality])</f>
        <v>0.367196</v>
      </c>
      <c r="O36" s="40">
        <f>COUNTIF(Vertices[Eigenvector Centrality],"&gt;= "&amp;N36)-COUNTIF(Vertices[Eigenvector Centrality],"&gt;="&amp;#REF!)</f>
        <v>1</v>
      </c>
      <c r="P36" s="39">
        <f>MAX(Vertices[PageRank])</f>
        <v>0.043816</v>
      </c>
      <c r="Q36" s="40">
        <f>COUNTIF(Vertices[PageRank],"&gt;= "&amp;P36)-COUNTIF(Vertices[PageRank],"&gt;="&amp;#REF!)</f>
        <v>1</v>
      </c>
      <c r="R36" s="39">
        <f>MAX(Vertices[Clustering Coefficient])</f>
        <v>0.5</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32" t="s">
        <v>383</v>
      </c>
      <c r="B37" s="32" t="s">
        <v>283</v>
      </c>
    </row>
    <row r="38" spans="1:2" ht="15">
      <c r="A38" s="32" t="s">
        <v>384</v>
      </c>
      <c r="B38" s="32" t="s">
        <v>283</v>
      </c>
    </row>
    <row r="39" spans="1:2" ht="15">
      <c r="A39" s="32" t="s">
        <v>385</v>
      </c>
      <c r="B39" s="32"/>
    </row>
    <row r="40" spans="1:2" ht="15">
      <c r="A40" s="32" t="s">
        <v>21</v>
      </c>
      <c r="B40" s="32"/>
    </row>
    <row r="41" spans="1:2" ht="15">
      <c r="A41" s="32" t="s">
        <v>386</v>
      </c>
      <c r="B41" s="32" t="s">
        <v>34</v>
      </c>
    </row>
    <row r="42" spans="1:2" ht="15">
      <c r="A42" s="32" t="s">
        <v>387</v>
      </c>
      <c r="B42" s="32"/>
    </row>
    <row r="43" spans="1:2" ht="15">
      <c r="A43" s="32" t="s">
        <v>388</v>
      </c>
      <c r="B43" s="32"/>
    </row>
    <row r="60" spans="1:2" ht="15">
      <c r="A60" t="s">
        <v>163</v>
      </c>
      <c r="B60" t="s">
        <v>17</v>
      </c>
    </row>
    <row r="61" spans="1:2" ht="15">
      <c r="A61" s="31"/>
      <c r="B61" s="31"/>
    </row>
    <row r="62" spans="1:2" ht="15">
      <c r="A62" s="31"/>
      <c r="B62" s="31"/>
    </row>
    <row r="63" spans="1:2" ht="15">
      <c r="A63" s="31"/>
      <c r="B63" s="31"/>
    </row>
    <row r="74" spans="1:2" ht="15">
      <c r="A74" s="31" t="s">
        <v>81</v>
      </c>
      <c r="B74" s="44">
        <f>IF(COUNT(Vertices[Degree])&gt;0,D2,NoMetricMessage)</f>
        <v>1</v>
      </c>
    </row>
    <row r="75" spans="1:2" ht="15">
      <c r="A75" s="31" t="s">
        <v>82</v>
      </c>
      <c r="B75" s="44">
        <f>IF(COUNT(Vertices[Degree])&gt;0,D36,NoMetricMessage)</f>
        <v>7</v>
      </c>
    </row>
    <row r="76" spans="1:2" ht="15">
      <c r="A76" s="31" t="s">
        <v>83</v>
      </c>
      <c r="B76" s="45">
        <f>_xlfn.IFERROR(AVERAGE(Vertices[Degree]),NoMetricMessage)</f>
        <v>2.9655172413793105</v>
      </c>
    </row>
    <row r="77" spans="1:2" ht="15">
      <c r="A77" s="31" t="s">
        <v>84</v>
      </c>
      <c r="B77" s="45">
        <f>_xlfn.IFERROR(MEDIAN(Vertices[Degree]),NoMetricMessage)</f>
        <v>3</v>
      </c>
    </row>
    <row r="88" spans="1:2" ht="15">
      <c r="A88" s="31" t="s">
        <v>88</v>
      </c>
      <c r="B88" s="44" t="str">
        <f>IF(COUNT(Vertices[In-Degree])&gt;0,F2,NoMetricMessage)</f>
        <v>Not Available</v>
      </c>
    </row>
    <row r="89" spans="1:2" ht="15">
      <c r="A89" s="31" t="s">
        <v>89</v>
      </c>
      <c r="B89" s="44" t="str">
        <f>IF(COUNT(Vertices[In-Degree])&gt;0,F36,NoMetricMessage)</f>
        <v>Not Available</v>
      </c>
    </row>
    <row r="90" spans="1:2" ht="15">
      <c r="A90" s="31" t="s">
        <v>90</v>
      </c>
      <c r="B90" s="45" t="str">
        <f>_xlfn.IFERROR(AVERAGE(Vertices[In-Degree]),NoMetricMessage)</f>
        <v>Not Available</v>
      </c>
    </row>
    <row r="91" spans="1:2" ht="15">
      <c r="A91" s="31" t="s">
        <v>91</v>
      </c>
      <c r="B91" s="45" t="str">
        <f>_xlfn.IFERROR(MEDIAN(Vertices[In-Degree]),NoMetricMessage)</f>
        <v>Not Available</v>
      </c>
    </row>
    <row r="102" spans="1:2" ht="15">
      <c r="A102" s="31" t="s">
        <v>94</v>
      </c>
      <c r="B102" s="44" t="str">
        <f>IF(COUNT(Vertices[Out-Degree])&gt;0,H2,NoMetricMessage)</f>
        <v>Not Available</v>
      </c>
    </row>
    <row r="103" spans="1:2" ht="15">
      <c r="A103" s="31" t="s">
        <v>95</v>
      </c>
      <c r="B103" s="44" t="str">
        <f>IF(COUNT(Vertices[Out-Degree])&gt;0,H36,NoMetricMessage)</f>
        <v>Not Available</v>
      </c>
    </row>
    <row r="104" spans="1:2" ht="15">
      <c r="A104" s="31" t="s">
        <v>96</v>
      </c>
      <c r="B104" s="45" t="str">
        <f>_xlfn.IFERROR(AVERAGE(Vertices[Out-Degree]),NoMetricMessage)</f>
        <v>Not Available</v>
      </c>
    </row>
    <row r="105" spans="1:2" ht="15">
      <c r="A105" s="31" t="s">
        <v>97</v>
      </c>
      <c r="B105" s="45" t="str">
        <f>_xlfn.IFERROR(MEDIAN(Vertices[Out-Degree]),NoMetricMessage)</f>
        <v>Not Available</v>
      </c>
    </row>
    <row r="116" spans="1:2" ht="15">
      <c r="A116" s="31" t="s">
        <v>100</v>
      </c>
      <c r="B116" s="45">
        <f>IF(COUNT(Vertices[Betweenness Centrality])&gt;0,J2,NoMetricMessage)</f>
        <v>0</v>
      </c>
    </row>
    <row r="117" spans="1:2" ht="15">
      <c r="A117" s="31" t="s">
        <v>101</v>
      </c>
      <c r="B117" s="45">
        <f>IF(COUNT(Vertices[Betweenness Centrality])&gt;0,J36,NoMetricMessage)</f>
        <v>262.3</v>
      </c>
    </row>
    <row r="118" spans="1:2" ht="15">
      <c r="A118" s="31" t="s">
        <v>102</v>
      </c>
      <c r="B118" s="45">
        <f>_xlfn.IFERROR(AVERAGE(Vertices[Betweenness Centrality]),NoMetricMessage)</f>
        <v>58.275862137931036</v>
      </c>
    </row>
    <row r="119" spans="1:2" ht="15">
      <c r="A119" s="31" t="s">
        <v>103</v>
      </c>
      <c r="B119" s="45">
        <f>_xlfn.IFERROR(MEDIAN(Vertices[Betweenness Centrality]),NoMetricMessage)</f>
        <v>46.5</v>
      </c>
    </row>
    <row r="130" spans="1:2" ht="15">
      <c r="A130" s="31" t="s">
        <v>106</v>
      </c>
      <c r="B130" s="45">
        <f>IF(COUNT(Vertices[Closeness Centrality])&gt;0,L2,NoMetricMessage)</f>
        <v>0.239316</v>
      </c>
    </row>
    <row r="131" spans="1:2" ht="15">
      <c r="A131" s="31" t="s">
        <v>107</v>
      </c>
      <c r="B131" s="45">
        <f>IF(COUNT(Vertices[Closeness Centrality])&gt;0,L36,NoMetricMessage)</f>
        <v>0.459016</v>
      </c>
    </row>
    <row r="132" spans="1:2" ht="15">
      <c r="A132" s="31" t="s">
        <v>108</v>
      </c>
      <c r="B132" s="45">
        <f>_xlfn.IFERROR(AVERAGE(Vertices[Closeness Centrality]),NoMetricMessage)</f>
        <v>0.33452393103448286</v>
      </c>
    </row>
    <row r="133" spans="1:2" ht="15">
      <c r="A133" s="31" t="s">
        <v>109</v>
      </c>
      <c r="B133" s="45">
        <f>_xlfn.IFERROR(MEDIAN(Vertices[Closeness Centrality]),NoMetricMessage)</f>
        <v>0.325581</v>
      </c>
    </row>
    <row r="144" spans="1:2" ht="15">
      <c r="A144" s="31" t="s">
        <v>112</v>
      </c>
      <c r="B144" s="45">
        <f>IF(COUNT(Vertices[Eigenvector Centrality])&gt;0,N2,NoMetricMessage)</f>
        <v>0.018205</v>
      </c>
    </row>
    <row r="145" spans="1:2" ht="15">
      <c r="A145" s="31" t="s">
        <v>113</v>
      </c>
      <c r="B145" s="45">
        <f>IF(COUNT(Vertices[Eigenvector Centrality])&gt;0,N36,NoMetricMessage)</f>
        <v>0.367196</v>
      </c>
    </row>
    <row r="146" spans="1:2" ht="15">
      <c r="A146" s="31" t="s">
        <v>114</v>
      </c>
      <c r="B146" s="45">
        <f>_xlfn.IFERROR(AVERAGE(Vertices[Eigenvector Centrality]),NoMetricMessage)</f>
        <v>0.15376041379310343</v>
      </c>
    </row>
    <row r="147" spans="1:2" ht="15">
      <c r="A147" s="31" t="s">
        <v>115</v>
      </c>
      <c r="B147" s="45">
        <f>_xlfn.IFERROR(MEDIAN(Vertices[Eigenvector Centrality]),NoMetricMessage)</f>
        <v>0.146986</v>
      </c>
    </row>
    <row r="158" spans="1:2" ht="15">
      <c r="A158" s="31" t="s">
        <v>140</v>
      </c>
      <c r="B158" s="45">
        <f>IF(COUNT(Vertices[PageRank])&gt;0,P2,NoMetricMessage)</f>
        <v>0.030249</v>
      </c>
    </row>
    <row r="159" spans="1:2" ht="15">
      <c r="A159" s="31" t="s">
        <v>141</v>
      </c>
      <c r="B159" s="45">
        <f>IF(COUNT(Vertices[PageRank])&gt;0,P36,NoMetricMessage)</f>
        <v>0.043816</v>
      </c>
    </row>
    <row r="160" spans="1:2" ht="15">
      <c r="A160" s="31" t="s">
        <v>142</v>
      </c>
      <c r="B160" s="45">
        <f>_xlfn.IFERROR(AVERAGE(Vertices[PageRank]),NoMetricMessage)</f>
        <v>0.034482724137931034</v>
      </c>
    </row>
    <row r="161" spans="1:2" ht="15">
      <c r="A161" s="31" t="s">
        <v>143</v>
      </c>
      <c r="B161" s="45">
        <f>_xlfn.IFERROR(MEDIAN(Vertices[PageRank]),NoMetricMessage)</f>
        <v>0.034374</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0.04679802955665025</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29</v>
      </c>
      <c r="K3" t="s">
        <v>30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342</v>
      </c>
    </row>
    <row r="6" spans="1:18" ht="409.5">
      <c r="A6">
        <v>0</v>
      </c>
      <c r="B6" s="1" t="s">
        <v>136</v>
      </c>
      <c r="C6">
        <v>1</v>
      </c>
      <c r="D6" t="s">
        <v>59</v>
      </c>
      <c r="E6" t="s">
        <v>59</v>
      </c>
      <c r="F6">
        <v>0</v>
      </c>
      <c r="H6" t="s">
        <v>71</v>
      </c>
      <c r="J6" t="s">
        <v>173</v>
      </c>
      <c r="K6" s="7" t="s">
        <v>343</v>
      </c>
      <c r="R6" t="s">
        <v>129</v>
      </c>
    </row>
    <row r="7" spans="1:11" ht="409.5">
      <c r="A7">
        <v>2</v>
      </c>
      <c r="B7">
        <v>1</v>
      </c>
      <c r="C7">
        <v>0</v>
      </c>
      <c r="D7" t="s">
        <v>60</v>
      </c>
      <c r="E7" t="s">
        <v>60</v>
      </c>
      <c r="F7">
        <v>2</v>
      </c>
      <c r="H7" t="s">
        <v>72</v>
      </c>
      <c r="J7" t="s">
        <v>174</v>
      </c>
      <c r="K7" s="7" t="s">
        <v>344</v>
      </c>
    </row>
    <row r="8" spans="1:11" ht="409.5">
      <c r="A8"/>
      <c r="B8">
        <v>2</v>
      </c>
      <c r="C8">
        <v>2</v>
      </c>
      <c r="D8" t="s">
        <v>61</v>
      </c>
      <c r="E8" t="s">
        <v>61</v>
      </c>
      <c r="H8" t="s">
        <v>73</v>
      </c>
      <c r="J8" t="s">
        <v>175</v>
      </c>
      <c r="K8" s="7" t="s">
        <v>345</v>
      </c>
    </row>
    <row r="9" spans="1:11" ht="409.5">
      <c r="A9"/>
      <c r="B9">
        <v>3</v>
      </c>
      <c r="C9">
        <v>4</v>
      </c>
      <c r="D9" t="s">
        <v>62</v>
      </c>
      <c r="E9" t="s">
        <v>62</v>
      </c>
      <c r="H9" t="s">
        <v>74</v>
      </c>
      <c r="J9" t="s">
        <v>176</v>
      </c>
      <c r="K9" s="74" t="s">
        <v>346</v>
      </c>
    </row>
    <row r="10" spans="1:11" ht="15">
      <c r="A10"/>
      <c r="B10">
        <v>4</v>
      </c>
      <c r="D10" t="s">
        <v>63</v>
      </c>
      <c r="E10" t="s">
        <v>63</v>
      </c>
      <c r="H10" t="s">
        <v>75</v>
      </c>
      <c r="J10" t="s">
        <v>177</v>
      </c>
      <c r="K10" t="s">
        <v>347</v>
      </c>
    </row>
    <row r="11" spans="1:11" ht="15">
      <c r="A11"/>
      <c r="B11">
        <v>5</v>
      </c>
      <c r="D11" t="s">
        <v>46</v>
      </c>
      <c r="E11">
        <v>1</v>
      </c>
      <c r="H11" t="s">
        <v>76</v>
      </c>
      <c r="J11" t="s">
        <v>178</v>
      </c>
      <c r="K11" t="s">
        <v>348</v>
      </c>
    </row>
    <row r="12" spans="1:11" ht="15">
      <c r="A12"/>
      <c r="B12"/>
      <c r="D12" t="s">
        <v>64</v>
      </c>
      <c r="E12">
        <v>2</v>
      </c>
      <c r="H12">
        <v>0</v>
      </c>
      <c r="J12" t="s">
        <v>179</v>
      </c>
      <c r="K12" t="s">
        <v>349</v>
      </c>
    </row>
    <row r="13" spans="1:11" ht="15">
      <c r="A13"/>
      <c r="B13"/>
      <c r="D13">
        <v>1</v>
      </c>
      <c r="E13">
        <v>3</v>
      </c>
      <c r="H13">
        <v>1</v>
      </c>
      <c r="J13" t="s">
        <v>180</v>
      </c>
      <c r="K13" t="s">
        <v>350</v>
      </c>
    </row>
    <row r="14" spans="4:11" ht="15">
      <c r="D14">
        <v>2</v>
      </c>
      <c r="E14">
        <v>4</v>
      </c>
      <c r="H14">
        <v>2</v>
      </c>
      <c r="J14" t="s">
        <v>181</v>
      </c>
      <c r="K14" t="s">
        <v>351</v>
      </c>
    </row>
    <row r="15" spans="4:11" ht="15">
      <c r="D15">
        <v>3</v>
      </c>
      <c r="E15">
        <v>5</v>
      </c>
      <c r="H15">
        <v>3</v>
      </c>
      <c r="J15" t="s">
        <v>182</v>
      </c>
      <c r="K15" t="s">
        <v>352</v>
      </c>
    </row>
    <row r="16" spans="4:11" ht="15">
      <c r="D16">
        <v>4</v>
      </c>
      <c r="E16">
        <v>6</v>
      </c>
      <c r="H16">
        <v>4</v>
      </c>
      <c r="J16" t="s">
        <v>183</v>
      </c>
      <c r="K16" t="s">
        <v>353</v>
      </c>
    </row>
    <row r="17" spans="4:11" ht="409.5">
      <c r="D17">
        <v>5</v>
      </c>
      <c r="E17">
        <v>7</v>
      </c>
      <c r="H17">
        <v>5</v>
      </c>
      <c r="J17" t="s">
        <v>184</v>
      </c>
      <c r="K17" s="7" t="s">
        <v>354</v>
      </c>
    </row>
    <row r="18" spans="4:11" ht="409.5">
      <c r="D18">
        <v>6</v>
      </c>
      <c r="E18">
        <v>8</v>
      </c>
      <c r="H18">
        <v>6</v>
      </c>
      <c r="J18" t="s">
        <v>185</v>
      </c>
      <c r="K18" s="7" t="s">
        <v>408</v>
      </c>
    </row>
    <row r="19" spans="4:11" ht="409.5">
      <c r="D19">
        <v>7</v>
      </c>
      <c r="E19">
        <v>9</v>
      </c>
      <c r="H19">
        <v>7</v>
      </c>
      <c r="J19" t="s">
        <v>186</v>
      </c>
      <c r="K19" s="7" t="s">
        <v>409</v>
      </c>
    </row>
    <row r="20" spans="4:11" ht="15">
      <c r="D20">
        <v>8</v>
      </c>
      <c r="H20">
        <v>8</v>
      </c>
      <c r="J20" t="s">
        <v>187</v>
      </c>
      <c r="K20" t="s">
        <v>284</v>
      </c>
    </row>
    <row r="21" spans="4:11" ht="15">
      <c r="D21">
        <v>9</v>
      </c>
      <c r="H21">
        <v>9</v>
      </c>
      <c r="J21" t="s">
        <v>188</v>
      </c>
      <c r="K21" t="s">
        <v>285</v>
      </c>
    </row>
    <row r="22" spans="4:11" ht="15">
      <c r="D22">
        <v>10</v>
      </c>
      <c r="J22" t="s">
        <v>189</v>
      </c>
      <c r="K22" t="s">
        <v>286</v>
      </c>
    </row>
    <row r="23" spans="4:11" ht="15">
      <c r="D23">
        <v>11</v>
      </c>
      <c r="J23" t="s">
        <v>190</v>
      </c>
      <c r="K23" t="s">
        <v>287</v>
      </c>
    </row>
    <row r="24" spans="10:11" ht="15">
      <c r="J24" t="s">
        <v>191</v>
      </c>
      <c r="K24" t="s">
        <v>288</v>
      </c>
    </row>
    <row r="25" spans="10:11" ht="15">
      <c r="J25" t="s">
        <v>192</v>
      </c>
      <c r="K25" t="s">
        <v>289</v>
      </c>
    </row>
    <row r="26" spans="10:11" ht="15">
      <c r="J26" t="s">
        <v>193</v>
      </c>
      <c r="K26" t="s">
        <v>290</v>
      </c>
    </row>
    <row r="27" spans="10:11" ht="15">
      <c r="J27" t="s">
        <v>194</v>
      </c>
      <c r="K27" t="s">
        <v>291</v>
      </c>
    </row>
    <row r="28" spans="10:11" ht="15">
      <c r="J28" t="s">
        <v>195</v>
      </c>
      <c r="K28" t="s">
        <v>292</v>
      </c>
    </row>
    <row r="29" spans="10:11" ht="15">
      <c r="J29" t="s">
        <v>196</v>
      </c>
      <c r="K29" t="s">
        <v>293</v>
      </c>
    </row>
    <row r="30" spans="10:11" ht="15">
      <c r="J30" t="s">
        <v>197</v>
      </c>
      <c r="K30" t="s">
        <v>294</v>
      </c>
    </row>
    <row r="31" spans="10:11" ht="15">
      <c r="J31" t="s">
        <v>198</v>
      </c>
      <c r="K31" t="s">
        <v>295</v>
      </c>
    </row>
    <row r="32" spans="10:11" ht="15">
      <c r="J32" t="s">
        <v>199</v>
      </c>
      <c r="K32" t="s">
        <v>296</v>
      </c>
    </row>
    <row r="33" spans="10:11" ht="15">
      <c r="J33" t="s">
        <v>200</v>
      </c>
      <c r="K33" t="s">
        <v>297</v>
      </c>
    </row>
    <row r="34" spans="10:11" ht="15">
      <c r="J34" t="s">
        <v>201</v>
      </c>
      <c r="K34" t="s">
        <v>298</v>
      </c>
    </row>
    <row r="35" spans="10:11" ht="15">
      <c r="J35" t="s">
        <v>202</v>
      </c>
      <c r="K35" t="s">
        <v>299</v>
      </c>
    </row>
    <row r="36" spans="10:11" ht="15">
      <c r="J36" t="s">
        <v>203</v>
      </c>
      <c r="K36" t="s">
        <v>300</v>
      </c>
    </row>
    <row r="37" spans="10:11" ht="15">
      <c r="J37" t="s">
        <v>204</v>
      </c>
      <c r="K37" t="s">
        <v>301</v>
      </c>
    </row>
    <row r="38" spans="10:11" ht="15">
      <c r="J38" t="s">
        <v>205</v>
      </c>
      <c r="K38" t="s">
        <v>302</v>
      </c>
    </row>
    <row r="39" spans="10:11" ht="15">
      <c r="J39" t="s">
        <v>206</v>
      </c>
      <c r="K39" t="s">
        <v>303</v>
      </c>
    </row>
    <row r="40" spans="10:11" ht="15">
      <c r="J40" t="s">
        <v>207</v>
      </c>
      <c r="K40" t="s">
        <v>304</v>
      </c>
    </row>
    <row r="41" spans="10:11" ht="15">
      <c r="J41" t="s">
        <v>208</v>
      </c>
      <c r="K41" t="s">
        <v>305</v>
      </c>
    </row>
    <row r="42" spans="10:11" ht="15">
      <c r="J42" t="s">
        <v>209</v>
      </c>
      <c r="K42" t="s">
        <v>306</v>
      </c>
    </row>
    <row r="43" spans="10:11" ht="15">
      <c r="J43" t="s">
        <v>210</v>
      </c>
      <c r="K43" t="s">
        <v>307</v>
      </c>
    </row>
    <row r="44" spans="10:11" ht="15">
      <c r="J44" t="s">
        <v>211</v>
      </c>
      <c r="K44" t="s">
        <v>308</v>
      </c>
    </row>
    <row r="45" spans="10:11" ht="15">
      <c r="J45" t="s">
        <v>212</v>
      </c>
      <c r="K45" t="s">
        <v>309</v>
      </c>
    </row>
    <row r="46" spans="10:11" ht="15">
      <c r="J46" t="s">
        <v>213</v>
      </c>
      <c r="K46" t="s">
        <v>310</v>
      </c>
    </row>
    <row r="47" spans="10:11" ht="15">
      <c r="J47" t="s">
        <v>214</v>
      </c>
      <c r="K47" t="s">
        <v>311</v>
      </c>
    </row>
    <row r="48" spans="10:11" ht="15">
      <c r="J48" t="s">
        <v>215</v>
      </c>
      <c r="K48" t="s">
        <v>312</v>
      </c>
    </row>
    <row r="49" spans="10:11" ht="15">
      <c r="J49" t="s">
        <v>216</v>
      </c>
      <c r="K49" t="s">
        <v>313</v>
      </c>
    </row>
    <row r="50" spans="10:11" ht="15">
      <c r="J50" t="s">
        <v>217</v>
      </c>
      <c r="K50" t="s">
        <v>314</v>
      </c>
    </row>
    <row r="51" spans="10:11" ht="15">
      <c r="J51" t="s">
        <v>218</v>
      </c>
      <c r="K51" t="s">
        <v>315</v>
      </c>
    </row>
    <row r="52" spans="10:11" ht="15">
      <c r="J52" t="s">
        <v>219</v>
      </c>
      <c r="K52" t="s">
        <v>316</v>
      </c>
    </row>
    <row r="53" spans="10:11" ht="15">
      <c r="J53" t="s">
        <v>220</v>
      </c>
      <c r="K53" t="s">
        <v>317</v>
      </c>
    </row>
    <row r="54" spans="10:11" ht="15">
      <c r="J54" t="s">
        <v>221</v>
      </c>
      <c r="K54" t="s">
        <v>318</v>
      </c>
    </row>
    <row r="55" spans="10:11" ht="15">
      <c r="J55" t="s">
        <v>222</v>
      </c>
      <c r="K55" t="s">
        <v>319</v>
      </c>
    </row>
    <row r="56" spans="10:11" ht="15">
      <c r="J56" t="s">
        <v>223</v>
      </c>
      <c r="K56" t="s">
        <v>320</v>
      </c>
    </row>
    <row r="57" spans="10:11" ht="15">
      <c r="J57" t="s">
        <v>224</v>
      </c>
      <c r="K57" t="s">
        <v>321</v>
      </c>
    </row>
    <row r="58" spans="10:11" ht="15">
      <c r="J58" t="s">
        <v>225</v>
      </c>
      <c r="K58" t="s">
        <v>322</v>
      </c>
    </row>
    <row r="59" spans="10:11" ht="15">
      <c r="J59" t="s">
        <v>226</v>
      </c>
      <c r="K59" t="s">
        <v>323</v>
      </c>
    </row>
    <row r="60" spans="10:11" ht="15">
      <c r="J60" t="s">
        <v>227</v>
      </c>
      <c r="K60" t="s">
        <v>324</v>
      </c>
    </row>
    <row r="61" spans="10:11" ht="15">
      <c r="J61" t="s">
        <v>228</v>
      </c>
      <c r="K61" t="s">
        <v>325</v>
      </c>
    </row>
    <row r="62" spans="10:11" ht="15">
      <c r="J62" t="s">
        <v>229</v>
      </c>
      <c r="K62" t="s">
        <v>326</v>
      </c>
    </row>
    <row r="63" spans="10:11" ht="15">
      <c r="J63" t="s">
        <v>230</v>
      </c>
      <c r="K63" t="s">
        <v>327</v>
      </c>
    </row>
    <row r="64" spans="10:11" ht="15">
      <c r="J64" t="s">
        <v>231</v>
      </c>
      <c r="K64" t="s">
        <v>328</v>
      </c>
    </row>
    <row r="65" spans="10:11" ht="15">
      <c r="J65" t="s">
        <v>232</v>
      </c>
      <c r="K65" t="s">
        <v>329</v>
      </c>
    </row>
    <row r="66" spans="10:11" ht="15">
      <c r="J66" t="s">
        <v>233</v>
      </c>
      <c r="K66" t="s">
        <v>330</v>
      </c>
    </row>
    <row r="67" spans="10:11" ht="15">
      <c r="J67" t="s">
        <v>234</v>
      </c>
      <c r="K67" t="s">
        <v>331</v>
      </c>
    </row>
    <row r="68" spans="10:11" ht="15">
      <c r="J68" t="s">
        <v>235</v>
      </c>
      <c r="K68" t="s">
        <v>332</v>
      </c>
    </row>
    <row r="69" spans="10:11" ht="15">
      <c r="J69" t="s">
        <v>236</v>
      </c>
      <c r="K69" t="s">
        <v>333</v>
      </c>
    </row>
    <row r="70" spans="10:11" ht="15">
      <c r="J70" t="s">
        <v>237</v>
      </c>
      <c r="K70" t="s">
        <v>334</v>
      </c>
    </row>
    <row r="71" spans="10:11" ht="15">
      <c r="J71" t="s">
        <v>238</v>
      </c>
      <c r="K71" t="s">
        <v>335</v>
      </c>
    </row>
    <row r="72" spans="10:11" ht="15">
      <c r="J72" t="s">
        <v>239</v>
      </c>
      <c r="K72" t="s">
        <v>336</v>
      </c>
    </row>
    <row r="73" spans="10:11" ht="15">
      <c r="J73" t="s">
        <v>240</v>
      </c>
      <c r="K73" t="s">
        <v>337</v>
      </c>
    </row>
    <row r="74" spans="10:11" ht="15">
      <c r="J74" t="s">
        <v>241</v>
      </c>
      <c r="K74" t="s">
        <v>338</v>
      </c>
    </row>
    <row r="75" spans="10:11" ht="409.5">
      <c r="J75" t="s">
        <v>242</v>
      </c>
      <c r="K75" s="7" t="s">
        <v>339</v>
      </c>
    </row>
    <row r="76" spans="10:11" ht="409.5">
      <c r="J76" t="s">
        <v>243</v>
      </c>
      <c r="K76" s="7" t="s">
        <v>340</v>
      </c>
    </row>
    <row r="77" spans="10:11" ht="409.5">
      <c r="J77" t="s">
        <v>244</v>
      </c>
      <c r="K77" s="7" t="s">
        <v>341</v>
      </c>
    </row>
    <row r="78" spans="10:11" ht="409.5">
      <c r="J78" t="s">
        <v>245</v>
      </c>
      <c r="K78" s="7" t="s">
        <v>246</v>
      </c>
    </row>
    <row r="79" spans="10:11" ht="15">
      <c r="J79" t="s">
        <v>247</v>
      </c>
      <c r="K79">
        <v>15</v>
      </c>
    </row>
    <row r="80" spans="10:11" ht="15">
      <c r="J80" t="s">
        <v>368</v>
      </c>
      <c r="K80" t="s">
        <v>405</v>
      </c>
    </row>
    <row r="81" spans="10:11" ht="15">
      <c r="J81" t="s">
        <v>404</v>
      </c>
      <c r="K81" t="s">
        <v>407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CB39D-EF54-46F2-AD75-6DBB23DD5618}">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369</v>
      </c>
      <c r="B2" s="95" t="s">
        <v>370</v>
      </c>
      <c r="C2" s="63" t="s">
        <v>371</v>
      </c>
    </row>
    <row r="3" spans="1:3" ht="15">
      <c r="A3" s="94" t="s">
        <v>355</v>
      </c>
      <c r="B3" s="94" t="s">
        <v>355</v>
      </c>
      <c r="C3" s="32">
        <v>10</v>
      </c>
    </row>
    <row r="4" spans="1:3" ht="15">
      <c r="A4" s="94" t="s">
        <v>355</v>
      </c>
      <c r="B4" s="106" t="s">
        <v>356</v>
      </c>
      <c r="C4" s="32">
        <v>2</v>
      </c>
    </row>
    <row r="5" spans="1:3" ht="15">
      <c r="A5" s="94" t="s">
        <v>355</v>
      </c>
      <c r="B5" s="106" t="s">
        <v>357</v>
      </c>
      <c r="C5" s="32">
        <v>1</v>
      </c>
    </row>
    <row r="6" spans="1:3" ht="15">
      <c r="A6" s="94" t="s">
        <v>356</v>
      </c>
      <c r="B6" s="106" t="s">
        <v>355</v>
      </c>
      <c r="C6" s="32">
        <v>1</v>
      </c>
    </row>
    <row r="7" spans="1:3" ht="15">
      <c r="A7" s="94" t="s">
        <v>356</v>
      </c>
      <c r="B7" s="106" t="s">
        <v>356</v>
      </c>
      <c r="C7" s="32">
        <v>9</v>
      </c>
    </row>
    <row r="8" spans="1:3" ht="15">
      <c r="A8" s="94" t="s">
        <v>356</v>
      </c>
      <c r="B8" s="106" t="s">
        <v>359</v>
      </c>
      <c r="C8" s="32">
        <v>1</v>
      </c>
    </row>
    <row r="9" spans="1:3" ht="15">
      <c r="A9" s="94" t="s">
        <v>357</v>
      </c>
      <c r="B9" s="106" t="s">
        <v>356</v>
      </c>
      <c r="C9" s="32">
        <v>2</v>
      </c>
    </row>
    <row r="10" spans="1:3" ht="15">
      <c r="A10" s="94" t="s">
        <v>357</v>
      </c>
      <c r="B10" s="106" t="s">
        <v>357</v>
      </c>
      <c r="C10" s="32">
        <v>5</v>
      </c>
    </row>
    <row r="11" spans="1:3" ht="15">
      <c r="A11" s="94" t="s">
        <v>357</v>
      </c>
      <c r="B11" s="106" t="s">
        <v>358</v>
      </c>
      <c r="C11" s="32">
        <v>1</v>
      </c>
    </row>
    <row r="12" spans="1:3" ht="15">
      <c r="A12" s="94" t="s">
        <v>358</v>
      </c>
      <c r="B12" s="106" t="s">
        <v>355</v>
      </c>
      <c r="C12" s="32">
        <v>2</v>
      </c>
    </row>
    <row r="13" spans="1:3" ht="15">
      <c r="A13" s="94" t="s">
        <v>358</v>
      </c>
      <c r="B13" s="106" t="s">
        <v>356</v>
      </c>
      <c r="C13" s="32">
        <v>1</v>
      </c>
    </row>
    <row r="14" spans="1:3" ht="15">
      <c r="A14" s="94" t="s">
        <v>358</v>
      </c>
      <c r="B14" s="106" t="s">
        <v>358</v>
      </c>
      <c r="C14" s="32">
        <v>4</v>
      </c>
    </row>
    <row r="15" spans="1:3" ht="15">
      <c r="A15" s="94" t="s">
        <v>358</v>
      </c>
      <c r="B15" s="106" t="s">
        <v>359</v>
      </c>
      <c r="C15" s="32">
        <v>1</v>
      </c>
    </row>
    <row r="16" spans="1:3" ht="15">
      <c r="A16" s="94" t="s">
        <v>359</v>
      </c>
      <c r="B16" s="106" t="s">
        <v>355</v>
      </c>
      <c r="C16" s="32">
        <v>1</v>
      </c>
    </row>
    <row r="17" spans="1:3" ht="15">
      <c r="A17" s="107" t="s">
        <v>359</v>
      </c>
      <c r="B17" s="106" t="s">
        <v>359</v>
      </c>
      <c r="C17" s="32">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27F15-AE7D-47C0-988D-1047545EC91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391</v>
      </c>
      <c r="B1" s="7" t="s">
        <v>17</v>
      </c>
    </row>
    <row r="2" spans="1:2" ht="15">
      <c r="A2" s="90" t="s">
        <v>392</v>
      </c>
      <c r="B2" s="90"/>
    </row>
    <row r="3" spans="1:2" ht="15">
      <c r="A3" s="92" t="s">
        <v>393</v>
      </c>
      <c r="B3" s="90"/>
    </row>
    <row r="4" spans="1:2" ht="15">
      <c r="A4" s="92" t="s">
        <v>394</v>
      </c>
      <c r="B4" s="90"/>
    </row>
    <row r="5" spans="1:2" ht="15">
      <c r="A5" s="92" t="s">
        <v>395</v>
      </c>
      <c r="B5" s="90"/>
    </row>
    <row r="6" spans="1:2" ht="15">
      <c r="A6" s="92" t="s">
        <v>396</v>
      </c>
      <c r="B6" s="90"/>
    </row>
    <row r="7" spans="1:2" ht="15">
      <c r="A7" s="92" t="s">
        <v>397</v>
      </c>
      <c r="B7" s="9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2024-04-19T14:01:13Z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